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ffel\Desktop\"/>
    </mc:Choice>
  </mc:AlternateContent>
  <xr:revisionPtr revIDLastSave="0" documentId="8_{4689105D-A696-476E-9963-3CC3FB879E3B}" xr6:coauthVersionLast="45" xr6:coauthVersionMax="45" xr10:uidLastSave="{00000000-0000-0000-0000-000000000000}"/>
  <workbookProtection workbookAlgorithmName="SHA-512" workbookHashValue="crOGVk6KXADou7b+LROA42YfAQ1QSYTK6N+3dEXVbi/0pE27g9HkXJYvsQ8XIRPg3sLNev1SKT95m5IsnxtUFw==" workbookSaltValue="5mjHHFCCwnbn5g8j2cbc/w==" workbookSpinCount="100000" lockStructure="1"/>
  <bookViews>
    <workbookView xWindow="-120" yWindow="-120" windowWidth="29040" windowHeight="15840" xr2:uid="{F9C8348B-57FC-40FB-AB95-A446F2AEAC8A}"/>
  </bookViews>
  <sheets>
    <sheet name="Blad1" sheetId="1" r:id="rId1"/>
  </sheets>
  <externalReferences>
    <externalReference r:id="rId2"/>
  </externalReferences>
  <definedNames>
    <definedName name="B">[1]Blad1!$T$2:$T$4</definedName>
    <definedName name="d">[1]Blad1!$S$2:$S$4</definedName>
    <definedName name="g">[1]Blad1!$X$2:$X$3</definedName>
    <definedName name="I">[1]Blad1!$V$2:$V$4</definedName>
    <definedName name="inhoud">[1]Blad1!#REF!</definedName>
    <definedName name="P">[1]Blad1!$W$2:$W$3</definedName>
    <definedName name="plaat">[1]Blad1!#REF!</definedName>
    <definedName name="s">[1]Blad1!$AD$2:$AD$3</definedName>
    <definedName name="w">[1]Blad1!$U$2:$U$3</definedName>
    <definedName name="we">[1]Blad1!$U$2:$U$4</definedName>
    <definedName name="x">[1]Blad1!$AC$2:$AC$3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1" l="1"/>
  <c r="AE69" i="1"/>
  <c r="AJ69" i="1" s="1"/>
  <c r="AG68" i="1"/>
  <c r="AE67" i="1"/>
  <c r="AJ66" i="1"/>
  <c r="AG66" i="1"/>
  <c r="AG70" i="1" s="1"/>
  <c r="AE66" i="1"/>
  <c r="AE68" i="1" s="1"/>
  <c r="AJ65" i="1"/>
  <c r="AJ68" i="1" s="1"/>
  <c r="L58" i="1" s="1"/>
  <c r="L64" i="1"/>
  <c r="I64" i="1"/>
  <c r="O64" i="1" s="1"/>
  <c r="AE63" i="1"/>
  <c r="L63" i="1"/>
  <c r="AE62" i="1"/>
  <c r="AC61" i="1"/>
  <c r="Y61" i="1"/>
  <c r="AG60" i="1"/>
  <c r="AB60" i="1"/>
  <c r="X60" i="1"/>
  <c r="W60" i="1"/>
  <c r="AG59" i="1"/>
  <c r="AC59" i="1"/>
  <c r="AB59" i="1"/>
  <c r="Y59" i="1"/>
  <c r="X59" i="1"/>
  <c r="L59" i="1"/>
  <c r="E59" i="1"/>
  <c r="AE58" i="1"/>
  <c r="E58" i="1"/>
  <c r="AG57" i="1"/>
  <c r="AG63" i="1" s="1"/>
  <c r="AE57" i="1"/>
  <c r="AE60" i="1" s="1"/>
  <c r="AJ56" i="1"/>
  <c r="AE53" i="1"/>
  <c r="E53" i="1"/>
  <c r="I53" i="1" s="1"/>
  <c r="AG52" i="1"/>
  <c r="AE52" i="1"/>
  <c r="AJ51" i="1"/>
  <c r="AE51" i="1"/>
  <c r="AG50" i="1"/>
  <c r="AG51" i="1" s="1"/>
  <c r="AE50" i="1"/>
  <c r="AJ50" i="1" s="1"/>
  <c r="AJ49" i="1"/>
  <c r="AJ53" i="1" s="1"/>
  <c r="L57" i="1" s="1"/>
  <c r="J49" i="1"/>
  <c r="G49" i="1"/>
  <c r="L45" i="1"/>
  <c r="I63" i="1" s="1"/>
  <c r="O63" i="1" s="1"/>
  <c r="O65" i="1" s="1"/>
  <c r="L44" i="1"/>
  <c r="K44" i="1"/>
  <c r="N43" i="1"/>
  <c r="O43" i="1" s="1"/>
  <c r="L43" i="1"/>
  <c r="K43" i="1"/>
  <c r="L42" i="1"/>
  <c r="K42" i="1"/>
  <c r="N41" i="1"/>
  <c r="O41" i="1" s="1"/>
  <c r="L41" i="1"/>
  <c r="K41" i="1"/>
  <c r="L40" i="1"/>
  <c r="K40" i="1"/>
  <c r="N39" i="1"/>
  <c r="N42" i="1" s="1"/>
  <c r="O42" i="1" s="1"/>
  <c r="L39" i="1"/>
  <c r="K39" i="1"/>
  <c r="N38" i="1"/>
  <c r="O38" i="1" s="1"/>
  <c r="L38" i="1"/>
  <c r="K38" i="1"/>
  <c r="I59" i="1" s="1"/>
  <c r="O59" i="1" s="1"/>
  <c r="F35" i="1"/>
  <c r="E32" i="1"/>
  <c r="E56" i="1" s="1"/>
  <c r="I56" i="1" s="1"/>
  <c r="E31" i="1"/>
  <c r="E55" i="1" s="1"/>
  <c r="I55" i="1" s="1"/>
  <c r="E30" i="1"/>
  <c r="E54" i="1" s="1"/>
  <c r="I54" i="1" s="1"/>
  <c r="E29" i="1"/>
  <c r="J26" i="1"/>
  <c r="G26" i="1"/>
  <c r="F24" i="1"/>
  <c r="O45" i="1" l="1"/>
  <c r="AJ63" i="1"/>
  <c r="O39" i="1"/>
  <c r="I58" i="1" s="1"/>
  <c r="AG53" i="1"/>
  <c r="AJ60" i="1"/>
  <c r="L55" i="1" s="1"/>
  <c r="O55" i="1" s="1"/>
  <c r="AG62" i="1"/>
  <c r="AG69" i="1"/>
  <c r="AJ62" i="1"/>
  <c r="L56" i="1" s="1"/>
  <c r="M56" i="1" s="1"/>
  <c r="AJ52" i="1"/>
  <c r="AG67" i="1"/>
  <c r="AJ67" i="1"/>
  <c r="AE70" i="1"/>
  <c r="AJ70" i="1" s="1"/>
  <c r="N40" i="1"/>
  <c r="O40" i="1" s="1"/>
  <c r="N44" i="1"/>
  <c r="O44" i="1" s="1"/>
  <c r="AG58" i="1"/>
  <c r="AE61" i="1"/>
  <c r="AJ61" i="1" s="1"/>
  <c r="AJ58" i="1"/>
  <c r="L53" i="1" s="1"/>
  <c r="O53" i="1" s="1"/>
  <c r="AG61" i="1"/>
  <c r="AJ57" i="1"/>
  <c r="AE59" i="1"/>
  <c r="AJ59" i="1" s="1"/>
  <c r="L54" i="1" s="1"/>
  <c r="O54" i="1" s="1"/>
  <c r="O58" i="1" l="1"/>
  <c r="I57" i="1"/>
  <c r="O56" i="1"/>
  <c r="E61" i="1" l="1"/>
  <c r="O57" i="1"/>
  <c r="O60" i="1" s="1"/>
  <c r="K57" i="1"/>
  <c r="I60" i="1"/>
  <c r="C70" i="1" l="1"/>
  <c r="O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</author>
  </authors>
  <commentList>
    <comment ref="Q61" authorId="0" shapeId="0" xr:uid="{181A2894-C5FE-4324-94F3-F06FD276C49D}">
      <text>
        <r>
          <rPr>
            <b/>
            <sz val="9"/>
            <color indexed="81"/>
            <rFont val="Tahoma"/>
            <family val="2"/>
          </rPr>
          <t>Gerard: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<sst xmlns="http://schemas.openxmlformats.org/spreadsheetml/2006/main" count="270" uniqueCount="137">
  <si>
    <t>d</t>
  </si>
  <si>
    <t>B</t>
  </si>
  <si>
    <t>w</t>
  </si>
  <si>
    <t>I</t>
  </si>
  <si>
    <t>p</t>
  </si>
  <si>
    <t>g</t>
  </si>
  <si>
    <t>gb</t>
  </si>
  <si>
    <t>x</t>
  </si>
  <si>
    <t>s</t>
  </si>
  <si>
    <t>geen</t>
  </si>
  <si>
    <t>std</t>
  </si>
  <si>
    <t>PIR</t>
  </si>
  <si>
    <t>susplex</t>
  </si>
  <si>
    <t>T</t>
  </si>
  <si>
    <t>TB-30</t>
  </si>
  <si>
    <t>ja</t>
  </si>
  <si>
    <t>B30</t>
  </si>
  <si>
    <t>WX</t>
  </si>
  <si>
    <t>kurk</t>
  </si>
  <si>
    <t>tricoya</t>
  </si>
  <si>
    <t>TX</t>
  </si>
  <si>
    <t>TBP-60</t>
  </si>
  <si>
    <t>nee</t>
  </si>
  <si>
    <t>B60</t>
  </si>
  <si>
    <t>vuren</t>
  </si>
  <si>
    <t xml:space="preserve"> </t>
  </si>
  <si>
    <t xml:space="preserve">BEREKENING Up SAMENGESTELDE DEUREN </t>
  </si>
  <si>
    <t>TABEL  INVULVARIABELEN</t>
  </si>
  <si>
    <t>berekening conform NEN 1068:2012  / NEN - EN  10077-1:2006  /  NEN-EN 10077-2:2012</t>
  </si>
  <si>
    <t>PROJECTGEGEVENS</t>
  </si>
  <si>
    <t>Project</t>
  </si>
  <si>
    <t xml:space="preserve">  in te voeren waarde</t>
  </si>
  <si>
    <t>Projectnummer</t>
  </si>
  <si>
    <t xml:space="preserve">  in te voeren keuze</t>
  </si>
  <si>
    <t>Opdrachtgever</t>
  </si>
  <si>
    <t xml:space="preserve">  door programma bepaald/berekend</t>
  </si>
  <si>
    <t xml:space="preserve">datum </t>
  </si>
  <si>
    <t>INVOERGEGEVENS</t>
  </si>
  <si>
    <t>Deur</t>
  </si>
  <si>
    <t>breedte deurblad</t>
  </si>
  <si>
    <t>mm</t>
  </si>
  <si>
    <t>hoogte deurblad</t>
  </si>
  <si>
    <t>dikte deurblad</t>
  </si>
  <si>
    <t>dekplaat</t>
  </si>
  <si>
    <t>vulling</t>
  </si>
  <si>
    <t xml:space="preserve">  </t>
  </si>
  <si>
    <t>Opties</t>
  </si>
  <si>
    <t>brandwering</t>
  </si>
  <si>
    <t xml:space="preserve">Bij B30 en B60 alleen mogelijk met kurkvulling </t>
  </si>
  <si>
    <t>weldorpel</t>
  </si>
  <si>
    <t>afwijkende hangstijlbreedte ?</t>
  </si>
  <si>
    <t>bij afwijkende breedte hangstijl eigen waarde invoeren</t>
  </si>
  <si>
    <t>Berekende onderdelen :</t>
  </si>
  <si>
    <t>materiaal</t>
  </si>
  <si>
    <r>
      <rPr>
        <sz val="10"/>
        <color theme="1"/>
        <rFont val="Calibri"/>
        <family val="2"/>
      </rPr>
      <t>λ</t>
    </r>
    <r>
      <rPr>
        <sz val="8"/>
        <color theme="1"/>
        <rFont val="Calibri"/>
        <family val="2"/>
      </rPr>
      <t>D</t>
    </r>
    <r>
      <rPr>
        <sz val="9"/>
        <color theme="1"/>
        <rFont val="Calibri"/>
        <family val="2"/>
      </rPr>
      <t>/</t>
    </r>
    <r>
      <rPr>
        <sz val="11"/>
        <color theme="1"/>
        <rFont val="Calibri"/>
        <family val="2"/>
      </rPr>
      <t>λ</t>
    </r>
    <r>
      <rPr>
        <sz val="9"/>
        <color theme="1"/>
        <rFont val="Calibri"/>
        <family val="2"/>
      </rPr>
      <t>eq (W/mK)</t>
    </r>
  </si>
  <si>
    <t>hangstijl</t>
  </si>
  <si>
    <t>meranti</t>
  </si>
  <si>
    <t>De Breedtes van het randhout worden bepaald ahv deurdikte, brandwering en weldorpel</t>
  </si>
  <si>
    <t>bovendorpel</t>
  </si>
  <si>
    <t>De breedte van de SS (sluitstijl) wordt bepaald ahv deurdikte en brandwerendheid</t>
  </si>
  <si>
    <t>onderdorpel</t>
  </si>
  <si>
    <t>sluitstijl met stab. Voorziening</t>
  </si>
  <si>
    <t>Glasvakken</t>
  </si>
  <si>
    <t>type glasrand</t>
  </si>
  <si>
    <t xml:space="preserve">Breedte randhout afgeleid van deurdikte en T of TX.  (T, TB, TBP hebben allen gelijke Bf) </t>
  </si>
  <si>
    <t>Glas</t>
  </si>
  <si>
    <t>Randhout</t>
  </si>
  <si>
    <t>type en aantal glasvakken:</t>
  </si>
  <si>
    <t>breed</t>
  </si>
  <si>
    <t xml:space="preserve">  hoog</t>
  </si>
  <si>
    <t>opp (m2)</t>
  </si>
  <si>
    <t>omtrek (m1)</t>
  </si>
  <si>
    <r>
      <t xml:space="preserve">breed </t>
    </r>
    <r>
      <rPr>
        <sz val="8"/>
        <color theme="1"/>
        <rFont val="Calibri"/>
        <family val="2"/>
        <scheme val="minor"/>
      </rPr>
      <t>(mm)</t>
    </r>
  </si>
  <si>
    <t>opp. (m2)</t>
  </si>
  <si>
    <t>Rond</t>
  </si>
  <si>
    <t>st</t>
  </si>
  <si>
    <t>Foutmelding glasoppervlak:  FOUT als er minder dan 0,5m2 deurblad is</t>
  </si>
  <si>
    <t>Rechthoekig</t>
  </si>
  <si>
    <t>Toog bovenzijde</t>
  </si>
  <si>
    <t>m1</t>
  </si>
  <si>
    <t>m2</t>
  </si>
  <si>
    <t>Ugl  vrij in te vullen</t>
  </si>
  <si>
    <t>Ug</t>
  </si>
  <si>
    <t>W/m2K</t>
  </si>
  <si>
    <t>Psi te kiezen uit 0,08 en 0,06</t>
  </si>
  <si>
    <t>Psi</t>
  </si>
  <si>
    <t>W/m1K</t>
  </si>
  <si>
    <t>Hulptabel keuze</t>
  </si>
  <si>
    <t>Up waarden - berekend</t>
  </si>
  <si>
    <t xml:space="preserve">Gekozen deurdikte : </t>
  </si>
  <si>
    <t>Gekozen dekplaat</t>
  </si>
  <si>
    <t>Wiener sprossen</t>
  </si>
  <si>
    <t>Uc - waarden</t>
  </si>
  <si>
    <t>Susplex</t>
  </si>
  <si>
    <t>UITVOER</t>
  </si>
  <si>
    <t>Vuren</t>
  </si>
  <si>
    <t>na</t>
  </si>
  <si>
    <t xml:space="preserve"> Warmteverlies  onderdeel :</t>
  </si>
  <si>
    <r>
      <t xml:space="preserve">b </t>
    </r>
    <r>
      <rPr>
        <sz val="8"/>
        <color theme="1"/>
        <rFont val="Calibri"/>
        <family val="2"/>
        <scheme val="minor"/>
      </rPr>
      <t xml:space="preserve">  </t>
    </r>
  </si>
  <si>
    <r>
      <t xml:space="preserve">A </t>
    </r>
    <r>
      <rPr>
        <sz val="8"/>
        <color theme="1"/>
        <rFont val="Calibri"/>
        <family val="2"/>
        <scheme val="minor"/>
      </rPr>
      <t>(m2)</t>
    </r>
  </si>
  <si>
    <r>
      <t xml:space="preserve">Uc </t>
    </r>
    <r>
      <rPr>
        <sz val="8"/>
        <color theme="1"/>
        <rFont val="Calibri"/>
        <family val="2"/>
        <scheme val="minor"/>
      </rPr>
      <t>(W/m2K)</t>
    </r>
  </si>
  <si>
    <t>A x Uc</t>
  </si>
  <si>
    <t xml:space="preserve"> (W/K)</t>
  </si>
  <si>
    <t>deurblad hangstijl</t>
  </si>
  <si>
    <t xml:space="preserve"> mm</t>
  </si>
  <si>
    <t>Kurk</t>
  </si>
  <si>
    <t>deurblad bovendorpel</t>
  </si>
  <si>
    <t>deurblad onderdorpel</t>
  </si>
  <si>
    <t>deurblad sluitstijl (met stab. Voorz.)</t>
  </si>
  <si>
    <t>deurblad geisoleerd</t>
  </si>
  <si>
    <t xml:space="preserve"> st </t>
  </si>
  <si>
    <t xml:space="preserve">  +</t>
  </si>
  <si>
    <t>vulhout rondom glasvakken</t>
  </si>
  <si>
    <t>HS</t>
  </si>
  <si>
    <t>glasvakken</t>
  </si>
  <si>
    <t xml:space="preserve">   +</t>
  </si>
  <si>
    <t>BD</t>
  </si>
  <si>
    <t xml:space="preserve"> m2</t>
  </si>
  <si>
    <t>OD</t>
  </si>
  <si>
    <t>SS</t>
  </si>
  <si>
    <t>Lineair warmteverlies :</t>
  </si>
  <si>
    <r>
      <rPr>
        <sz val="11"/>
        <color theme="1"/>
        <rFont val="Calibri"/>
        <family val="2"/>
        <scheme val="minor"/>
      </rPr>
      <t xml:space="preserve">l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(m1)</t>
    </r>
  </si>
  <si>
    <r>
      <rPr>
        <sz val="11"/>
        <color theme="1"/>
        <rFont val="Calibri"/>
        <family val="2"/>
      </rPr>
      <t>ψ</t>
    </r>
    <r>
      <rPr>
        <sz val="9"/>
        <color theme="1"/>
        <rFont val="Calibri"/>
        <family val="2"/>
      </rPr>
      <t xml:space="preserve">gl </t>
    </r>
    <r>
      <rPr>
        <sz val="8"/>
        <color theme="1"/>
        <rFont val="Calibri"/>
        <family val="2"/>
      </rPr>
      <t>(w/mK)</t>
    </r>
  </si>
  <si>
    <r>
      <rPr>
        <sz val="11"/>
        <color theme="1"/>
        <rFont val="Calibri"/>
        <family val="2"/>
        <scheme val="minor"/>
      </rPr>
      <t xml:space="preserve">l </t>
    </r>
    <r>
      <rPr>
        <sz val="9"/>
        <color theme="1"/>
        <rFont val="Calibri"/>
        <family val="2"/>
        <scheme val="minor"/>
      </rPr>
      <t xml:space="preserve"> x </t>
    </r>
    <r>
      <rPr>
        <sz val="11"/>
        <color theme="1"/>
        <rFont val="Calibri"/>
        <family val="2"/>
      </rPr>
      <t>ψ</t>
    </r>
    <r>
      <rPr>
        <sz val="9"/>
        <color theme="1"/>
        <rFont val="Calibri"/>
        <family val="2"/>
      </rPr>
      <t>gl</t>
    </r>
  </si>
  <si>
    <t>SS-B30</t>
  </si>
  <si>
    <t xml:space="preserve">Omtrek glas (alle glasvakken) </t>
  </si>
  <si>
    <t>SS-B60</t>
  </si>
  <si>
    <t xml:space="preserve">Lengte wiener sprosse </t>
  </si>
  <si>
    <t>rand</t>
  </si>
  <si>
    <t>Totale warmteverlies :</t>
  </si>
  <si>
    <t>RESULTATEN</t>
  </si>
  <si>
    <t>TB</t>
  </si>
  <si>
    <t>TBP</t>
  </si>
  <si>
    <t xml:space="preserve">Up = </t>
  </si>
  <si>
    <t xml:space="preserve"> W/m2K </t>
  </si>
  <si>
    <t>Ap =</t>
  </si>
  <si>
    <t>versiedatum : 17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</si>
</sst>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9"/>
      <color rgb="FF2F2F2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2F2F2F"/>
      <name val="Segoe UI"/>
      <family val="2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2" fillId="0" borderId="0" xfId="0" applyFont="1"/>
    <xf numFmtId="0" fontId="3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/>
    <xf numFmtId="0" fontId="0" fillId="2" borderId="14" xfId="0" applyFill="1" applyBorder="1"/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/>
    <xf numFmtId="0" fontId="0" fillId="3" borderId="14" xfId="0" applyFill="1" applyBorder="1"/>
    <xf numFmtId="0" fontId="0" fillId="4" borderId="14" xfId="0" applyFill="1" applyBorder="1"/>
    <xf numFmtId="0" fontId="1" fillId="0" borderId="0" xfId="0" applyFont="1"/>
    <xf numFmtId="0" fontId="4" fillId="0" borderId="16" xfId="0" applyFont="1" applyBorder="1"/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2" fontId="4" fillId="0" borderId="0" xfId="0" applyNumberFormat="1" applyFont="1"/>
    <xf numFmtId="0" fontId="4" fillId="3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17" xfId="0" applyFont="1" applyBorder="1"/>
    <xf numFmtId="0" fontId="4" fillId="0" borderId="15" xfId="0" applyFont="1" applyBorder="1"/>
    <xf numFmtId="0" fontId="4" fillId="2" borderId="18" xfId="0" applyFont="1" applyFill="1" applyBorder="1" applyAlignment="1" applyProtection="1">
      <alignment horizontal="center"/>
      <protection locked="0"/>
    </xf>
    <xf numFmtId="0" fontId="4" fillId="0" borderId="19" xfId="0" applyFont="1" applyBorder="1"/>
    <xf numFmtId="0" fontId="4" fillId="0" borderId="20" xfId="0" applyFont="1" applyBorder="1"/>
    <xf numFmtId="0" fontId="6" fillId="0" borderId="20" xfId="0" applyFont="1" applyBorder="1"/>
    <xf numFmtId="0" fontId="4" fillId="0" borderId="20" xfId="0" applyFont="1" applyBorder="1" applyAlignment="1">
      <alignment horizontal="center"/>
    </xf>
    <xf numFmtId="0" fontId="7" fillId="0" borderId="20" xfId="0" applyFont="1" applyBorder="1"/>
    <xf numFmtId="0" fontId="0" fillId="4" borderId="16" xfId="0" applyFill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4" fillId="6" borderId="0" xfId="0" applyFont="1" applyFill="1"/>
    <xf numFmtId="0" fontId="11" fillId="0" borderId="0" xfId="0" applyFont="1"/>
    <xf numFmtId="0" fontId="12" fillId="0" borderId="0" xfId="0" applyFont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1" fillId="0" borderId="20" xfId="0" applyFont="1" applyBorder="1"/>
    <xf numFmtId="0" fontId="1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13" fillId="0" borderId="1" xfId="0" applyFont="1" applyBorder="1"/>
    <xf numFmtId="0" fontId="4" fillId="0" borderId="3" xfId="0" applyFont="1" applyBorder="1"/>
    <xf numFmtId="0" fontId="4" fillId="0" borderId="1" xfId="0" applyFont="1" applyBorder="1"/>
    <xf numFmtId="0" fontId="13" fillId="0" borderId="3" xfId="0" applyFont="1" applyBorder="1"/>
    <xf numFmtId="0" fontId="1" fillId="0" borderId="24" xfId="0" applyFont="1" applyBorder="1" applyAlignment="1">
      <alignment horizontal="left"/>
    </xf>
    <xf numFmtId="0" fontId="0" fillId="0" borderId="4" xfId="0" applyBorder="1"/>
    <xf numFmtId="0" fontId="0" fillId="0" borderId="25" xfId="0" applyBorder="1"/>
    <xf numFmtId="0" fontId="4" fillId="0" borderId="4" xfId="0" applyFont="1" applyBorder="1"/>
    <xf numFmtId="0" fontId="13" fillId="4" borderId="5" xfId="0" applyFont="1" applyFill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0" fillId="0" borderId="28" xfId="0" applyBorder="1"/>
    <xf numFmtId="0" fontId="0" fillId="0" borderId="25" xfId="0" applyBorder="1" applyAlignment="1">
      <alignment horizontal="center"/>
    </xf>
    <xf numFmtId="0" fontId="4" fillId="0" borderId="5" xfId="0" applyFont="1" applyBorder="1"/>
    <xf numFmtId="0" fontId="1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1" xfId="0" applyFont="1" applyBorder="1"/>
    <xf numFmtId="164" fontId="4" fillId="0" borderId="22" xfId="0" applyNumberFormat="1" applyFont="1" applyBorder="1"/>
    <xf numFmtId="0" fontId="0" fillId="0" borderId="23" xfId="0" applyBorder="1"/>
    <xf numFmtId="164" fontId="0" fillId="2" borderId="29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164" fontId="0" fillId="4" borderId="29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0" fontId="0" fillId="0" borderId="29" xfId="0" applyBorder="1"/>
    <xf numFmtId="0" fontId="0" fillId="4" borderId="23" xfId="0" applyFill="1" applyBorder="1" applyAlignment="1">
      <alignment horizontal="center"/>
    </xf>
    <xf numFmtId="0" fontId="6" fillId="0" borderId="0" xfId="0" applyFont="1"/>
    <xf numFmtId="0" fontId="4" fillId="0" borderId="24" xfId="0" applyFont="1" applyBorder="1"/>
    <xf numFmtId="164" fontId="4" fillId="0" borderId="0" xfId="0" applyNumberFormat="1" applyFont="1"/>
    <xf numFmtId="164" fontId="0" fillId="2" borderId="4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24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164" fontId="4" fillId="7" borderId="0" xfId="0" applyNumberFormat="1" applyFont="1" applyFill="1" applyAlignment="1">
      <alignment horizontal="center"/>
    </xf>
    <xf numFmtId="0" fontId="14" fillId="0" borderId="0" xfId="0" applyFont="1"/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4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1" fontId="1" fillId="4" borderId="31" xfId="0" applyNumberFormat="1" applyFont="1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1" fontId="4" fillId="0" borderId="33" xfId="0" applyNumberFormat="1" applyFont="1" applyBorder="1" applyAlignment="1">
      <alignment horizontal="center"/>
    </xf>
    <xf numFmtId="164" fontId="0" fillId="2" borderId="24" xfId="0" applyNumberForma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0" fontId="4" fillId="0" borderId="29" xfId="0" applyFont="1" applyBorder="1"/>
    <xf numFmtId="164" fontId="0" fillId="4" borderId="23" xfId="0" applyNumberFormat="1" applyFill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  <xf numFmtId="0" fontId="4" fillId="0" borderId="7" xfId="0" applyFont="1" applyBorder="1"/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5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5" xfId="0" applyFont="1" applyFill="1" applyBorder="1"/>
    <xf numFmtId="0" fontId="13" fillId="0" borderId="4" xfId="0" applyFont="1" applyBorder="1"/>
    <xf numFmtId="1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2" borderId="29" xfId="0" applyFill="1" applyBorder="1"/>
    <xf numFmtId="0" fontId="0" fillId="2" borderId="22" xfId="0" applyFill="1" applyBorder="1"/>
    <xf numFmtId="0" fontId="0" fillId="2" borderId="21" xfId="0" applyFill="1" applyBorder="1"/>
    <xf numFmtId="0" fontId="0" fillId="0" borderId="22" xfId="0" applyBorder="1"/>
    <xf numFmtId="0" fontId="0" fillId="2" borderId="4" xfId="0" applyFill="1" applyBorder="1"/>
    <xf numFmtId="0" fontId="0" fillId="2" borderId="0" xfId="0" applyFill="1"/>
    <xf numFmtId="0" fontId="0" fillId="2" borderId="24" xfId="0" applyFill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2" borderId="34" xfId="0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 applyAlignment="1">
      <alignment horizontal="center"/>
    </xf>
    <xf numFmtId="0" fontId="0" fillId="0" borderId="34" xfId="0" applyBorder="1"/>
    <xf numFmtId="0" fontId="0" fillId="4" borderId="33" xfId="0" applyFill="1" applyBorder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0" fillId="2" borderId="25" xfId="0" applyFill="1" applyBorder="1"/>
    <xf numFmtId="0" fontId="0" fillId="0" borderId="8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180974</xdr:rowOff>
    </xdr:from>
    <xdr:to>
      <xdr:col>8</xdr:col>
      <xdr:colOff>578224</xdr:colOff>
      <xdr:row>4</xdr:row>
      <xdr:rowOff>161924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42F66F46-5A89-416E-BF55-4F282C877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80974"/>
          <a:ext cx="4426324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offel/Downloads/180329%20Rekenmodule%20Up%20%20vlakke%20deuren%20Suselbeek%20versiedatum%2018071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</sheetNames>
    <sheetDataSet>
      <sheetData sheetId="0">
        <row r="2">
          <cell r="S2">
            <v>39</v>
          </cell>
          <cell r="T2" t="str">
            <v>geen</v>
          </cell>
          <cell r="U2" t="str">
            <v>std</v>
          </cell>
          <cell r="V2" t="str">
            <v>PIR</v>
          </cell>
          <cell r="W2" t="str">
            <v>susplex</v>
          </cell>
          <cell r="X2" t="str">
            <v>T</v>
          </cell>
          <cell r="AC2">
            <v>0.08</v>
          </cell>
          <cell r="AD2" t="str">
            <v>ja</v>
          </cell>
        </row>
        <row r="3">
          <cell r="S3">
            <v>54</v>
          </cell>
          <cell r="T3" t="str">
            <v>B30</v>
          </cell>
          <cell r="U3" t="str">
            <v>WX</v>
          </cell>
          <cell r="V3" t="str">
            <v>kurk</v>
          </cell>
          <cell r="W3" t="str">
            <v>tricoya</v>
          </cell>
          <cell r="X3" t="str">
            <v>TX</v>
          </cell>
          <cell r="AC3">
            <v>0.06</v>
          </cell>
          <cell r="AD3" t="str">
            <v>nee</v>
          </cell>
        </row>
        <row r="4">
          <cell r="S4">
            <v>67</v>
          </cell>
          <cell r="T4" t="str">
            <v>B60</v>
          </cell>
          <cell r="U4" t="str">
            <v>geen</v>
          </cell>
          <cell r="V4" t="str">
            <v>vuren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CFC4-029A-4091-B707-CAFC6D316A37}">
  <dimension ref="A1:AK73"/>
  <sheetViews>
    <sheetView tabSelected="1" workbookViewId="0">
      <selection activeCell="E54" sqref="E54"/>
    </sheetView>
  </sheetViews>
  <sheetFormatPr defaultRowHeight="15" x14ac:dyDescent="0.25"/>
  <cols>
    <col min="1" max="1" width="4" customWidth="1"/>
    <col min="2" max="2" width="14.85546875" customWidth="1"/>
    <col min="3" max="3" width="8.28515625" customWidth="1"/>
    <col min="4" max="4" width="4.5703125" customWidth="1"/>
    <col min="6" max="6" width="8.7109375" customWidth="1"/>
    <col min="7" max="7" width="7.42578125" customWidth="1"/>
    <col min="8" max="8" width="4.85546875" customWidth="1"/>
    <col min="9" max="9" width="9.42578125" customWidth="1"/>
    <col min="10" max="10" width="5.7109375" customWidth="1"/>
    <col min="11" max="11" width="7.85546875" customWidth="1"/>
    <col min="12" max="12" width="9.85546875" customWidth="1"/>
    <col min="13" max="13" width="3.140625" customWidth="1"/>
    <col min="14" max="14" width="9.5703125" customWidth="1"/>
    <col min="15" max="15" width="8.5703125" customWidth="1"/>
    <col min="16" max="16" width="6.85546875" customWidth="1"/>
    <col min="17" max="17" width="3.85546875" hidden="1" customWidth="1"/>
    <col min="18" max="18" width="1.7109375" hidden="1" customWidth="1"/>
    <col min="19" max="19" width="3.7109375" hidden="1" customWidth="1"/>
    <col min="20" max="20" width="6.42578125" hidden="1" customWidth="1"/>
    <col min="21" max="21" width="6.140625" hidden="1" customWidth="1"/>
    <col min="22" max="22" width="6.42578125" hidden="1" customWidth="1"/>
    <col min="23" max="23" width="6.7109375" hidden="1" customWidth="1"/>
    <col min="24" max="25" width="7.28515625" hidden="1" customWidth="1"/>
    <col min="26" max="26" width="2.28515625" hidden="1" customWidth="1"/>
    <col min="27" max="27" width="6.7109375" hidden="1" customWidth="1"/>
    <col min="28" max="28" width="7.5703125" hidden="1" customWidth="1"/>
    <col min="29" max="29" width="7.140625" hidden="1" customWidth="1"/>
    <col min="30" max="30" width="2.140625" hidden="1" customWidth="1"/>
    <col min="31" max="31" width="8.28515625" hidden="1" customWidth="1"/>
    <col min="32" max="32" width="2.85546875" hidden="1" customWidth="1"/>
    <col min="33" max="33" width="6.7109375" hidden="1" customWidth="1"/>
    <col min="34" max="35" width="2.7109375" hidden="1" customWidth="1"/>
    <col min="36" max="36" width="14.7109375" hidden="1" customWidth="1"/>
    <col min="37" max="37" width="8.85546875" hidden="1" customWidth="1"/>
  </cols>
  <sheetData>
    <row r="1" spans="1:33" ht="15.75" thickTop="1" x14ac:dyDescent="0.25">
      <c r="S1" s="1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5</v>
      </c>
      <c r="Y1" s="2" t="s">
        <v>6</v>
      </c>
      <c r="Z1" s="2">
        <v>39</v>
      </c>
      <c r="AA1" s="2">
        <v>54</v>
      </c>
      <c r="AB1" s="2">
        <v>67</v>
      </c>
      <c r="AC1" s="2" t="s">
        <v>7</v>
      </c>
      <c r="AD1" s="2" t="s">
        <v>8</v>
      </c>
      <c r="AE1" s="3"/>
      <c r="AF1" s="3"/>
      <c r="AG1" s="4"/>
    </row>
    <row r="2" spans="1:33" x14ac:dyDescent="0.25">
      <c r="S2" s="5">
        <v>39</v>
      </c>
      <c r="T2" s="6" t="s">
        <v>9</v>
      </c>
      <c r="U2" s="6" t="s">
        <v>10</v>
      </c>
      <c r="V2" s="6" t="s">
        <v>11</v>
      </c>
      <c r="W2" s="6" t="s">
        <v>12</v>
      </c>
      <c r="X2" s="6" t="s">
        <v>13</v>
      </c>
      <c r="Y2" s="6" t="s">
        <v>14</v>
      </c>
      <c r="Z2" s="6">
        <v>55</v>
      </c>
      <c r="AA2" s="6">
        <v>46</v>
      </c>
      <c r="AB2" s="6">
        <v>55</v>
      </c>
      <c r="AC2" s="6">
        <v>0.08</v>
      </c>
      <c r="AD2" s="6" t="s">
        <v>15</v>
      </c>
      <c r="AG2" s="7"/>
    </row>
    <row r="3" spans="1:33" x14ac:dyDescent="0.25">
      <c r="S3" s="5">
        <v>54</v>
      </c>
      <c r="T3" s="6" t="s">
        <v>16</v>
      </c>
      <c r="U3" s="6" t="s">
        <v>17</v>
      </c>
      <c r="V3" s="6" t="s">
        <v>18</v>
      </c>
      <c r="W3" s="6" t="s">
        <v>19</v>
      </c>
      <c r="X3" s="6" t="s">
        <v>20</v>
      </c>
      <c r="Y3" s="6" t="s">
        <v>21</v>
      </c>
      <c r="Z3" s="6">
        <v>76</v>
      </c>
      <c r="AA3" s="6">
        <v>55</v>
      </c>
      <c r="AB3" s="6">
        <v>51</v>
      </c>
      <c r="AC3" s="6">
        <v>0.06</v>
      </c>
      <c r="AD3" s="6" t="s">
        <v>22</v>
      </c>
      <c r="AG3" s="7"/>
    </row>
    <row r="4" spans="1:33" x14ac:dyDescent="0.25">
      <c r="S4" s="5">
        <v>67</v>
      </c>
      <c r="T4" s="6" t="s">
        <v>23</v>
      </c>
      <c r="U4" s="6" t="s">
        <v>9</v>
      </c>
      <c r="V4" s="6" t="s">
        <v>24</v>
      </c>
      <c r="W4" s="6"/>
      <c r="X4" s="6" t="s">
        <v>25</v>
      </c>
      <c r="Y4" s="6"/>
      <c r="Z4" s="6"/>
      <c r="AA4" s="6"/>
      <c r="AB4" s="6"/>
      <c r="AC4" s="6" t="s">
        <v>25</v>
      </c>
      <c r="AD4" s="6"/>
      <c r="AG4" s="7"/>
    </row>
    <row r="5" spans="1:33" ht="50.25" customHeight="1" thickBot="1" x14ac:dyDescent="0.45">
      <c r="A5" s="8" t="s">
        <v>26</v>
      </c>
      <c r="L5" s="9" t="s">
        <v>25</v>
      </c>
      <c r="S5" s="10" t="s">
        <v>27</v>
      </c>
      <c r="T5" s="11"/>
      <c r="U5" s="11"/>
      <c r="V5" s="11"/>
      <c r="W5" s="11"/>
      <c r="X5" s="11" t="s">
        <v>25</v>
      </c>
      <c r="Y5" s="11"/>
      <c r="Z5" s="11"/>
      <c r="AA5" s="11"/>
      <c r="AB5" s="11"/>
      <c r="AC5" s="11"/>
      <c r="AD5" s="11"/>
      <c r="AE5" s="12"/>
      <c r="AF5" s="12"/>
      <c r="AG5" s="13"/>
    </row>
    <row r="6" spans="1:33" ht="15.75" thickTop="1" x14ac:dyDescent="0.25">
      <c r="A6" t="s">
        <v>28</v>
      </c>
    </row>
    <row r="7" spans="1:33" x14ac:dyDescent="0.25">
      <c r="A7" t="s">
        <v>136</v>
      </c>
      <c r="D7" s="14" t="s">
        <v>25</v>
      </c>
    </row>
    <row r="8" spans="1:33" ht="15.75" thickBot="1" x14ac:dyDescent="0.3">
      <c r="D8" s="14"/>
    </row>
    <row r="9" spans="1:33" ht="15.75" thickBot="1" x14ac:dyDescent="0.3">
      <c r="A9" s="15" t="s">
        <v>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8" t="s">
        <v>25</v>
      </c>
    </row>
    <row r="10" spans="1:33" x14ac:dyDescent="0.25">
      <c r="A10" s="19" t="s">
        <v>25</v>
      </c>
      <c r="B10" s="19" t="s">
        <v>30</v>
      </c>
      <c r="C10" s="19"/>
      <c r="D10" s="19"/>
      <c r="E10" s="20"/>
      <c r="F10" s="21"/>
      <c r="G10" s="21"/>
      <c r="H10" s="21"/>
      <c r="I10" s="19"/>
      <c r="J10" s="19"/>
      <c r="K10" s="19"/>
      <c r="L10" s="19"/>
      <c r="M10" s="19"/>
      <c r="N10" s="19"/>
      <c r="U10" s="22"/>
      <c r="V10" t="s">
        <v>31</v>
      </c>
    </row>
    <row r="11" spans="1:33" x14ac:dyDescent="0.25">
      <c r="A11" s="19"/>
      <c r="B11" s="19" t="s">
        <v>32</v>
      </c>
      <c r="C11" s="19"/>
      <c r="D11" s="19"/>
      <c r="E11" s="23" t="s">
        <v>25</v>
      </c>
      <c r="F11" s="24"/>
      <c r="G11" s="24"/>
      <c r="H11" s="24"/>
      <c r="I11" s="19"/>
      <c r="J11" s="19"/>
      <c r="K11" s="19"/>
      <c r="L11" s="19"/>
      <c r="M11" s="19"/>
      <c r="N11" s="19"/>
      <c r="U11" s="25"/>
      <c r="V11" t="s">
        <v>33</v>
      </c>
    </row>
    <row r="12" spans="1:33" x14ac:dyDescent="0.25">
      <c r="A12" s="19"/>
      <c r="B12" s="19" t="s">
        <v>34</v>
      </c>
      <c r="C12" s="19"/>
      <c r="D12" s="19"/>
      <c r="E12" s="23" t="s">
        <v>25</v>
      </c>
      <c r="F12" s="24"/>
      <c r="G12" s="24"/>
      <c r="H12" s="24"/>
      <c r="I12" s="19"/>
      <c r="J12" s="19"/>
      <c r="K12" s="19"/>
      <c r="L12" s="19"/>
      <c r="M12" s="19"/>
      <c r="N12" s="19"/>
      <c r="U12" s="26"/>
      <c r="V12" t="s">
        <v>35</v>
      </c>
    </row>
    <row r="13" spans="1:33" x14ac:dyDescent="0.25">
      <c r="A13" s="19"/>
      <c r="B13" s="19" t="s">
        <v>36</v>
      </c>
      <c r="C13" s="19"/>
      <c r="D13" s="19"/>
      <c r="E13" s="23" t="s">
        <v>25</v>
      </c>
      <c r="F13" s="24"/>
      <c r="G13" s="24"/>
      <c r="H13" s="24"/>
      <c r="I13" s="19"/>
      <c r="J13" s="19"/>
      <c r="K13" s="19"/>
      <c r="L13" s="19"/>
      <c r="M13" s="19"/>
      <c r="N13" s="19"/>
    </row>
    <row r="14" spans="1:33" ht="9" customHeight="1" thickBot="1" x14ac:dyDescent="0.3">
      <c r="A14" s="19"/>
      <c r="B14" s="19"/>
      <c r="C14" s="19"/>
      <c r="D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33" ht="15.75" thickBot="1" x14ac:dyDescent="0.3">
      <c r="A15" s="15" t="s">
        <v>37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8"/>
    </row>
    <row r="16" spans="1:33" s="19" customFormat="1" x14ac:dyDescent="0.25">
      <c r="A16" s="27" t="s">
        <v>38</v>
      </c>
    </row>
    <row r="17" spans="1:30" s="19" customFormat="1" ht="12" x14ac:dyDescent="0.2">
      <c r="A17" s="28"/>
      <c r="B17" s="28" t="s">
        <v>39</v>
      </c>
      <c r="C17" s="28"/>
      <c r="D17" s="28"/>
      <c r="E17" s="29">
        <v>800</v>
      </c>
      <c r="F17" s="28" t="s">
        <v>40</v>
      </c>
      <c r="G17" s="28" t="s">
        <v>25</v>
      </c>
      <c r="H17" s="28"/>
      <c r="I17" s="28"/>
      <c r="J17" s="28"/>
      <c r="K17" s="28"/>
      <c r="L17" s="28"/>
      <c r="M17" s="28"/>
      <c r="N17" s="28"/>
      <c r="O17" s="28"/>
      <c r="P17" s="28"/>
    </row>
    <row r="18" spans="1:30" s="19" customFormat="1" ht="12" x14ac:dyDescent="0.2">
      <c r="B18" s="19" t="s">
        <v>41</v>
      </c>
      <c r="E18" s="30">
        <v>2315</v>
      </c>
      <c r="F18" s="19" t="s">
        <v>40</v>
      </c>
      <c r="G18" s="19" t="s">
        <v>25</v>
      </c>
      <c r="P18" s="31"/>
    </row>
    <row r="19" spans="1:30" s="19" customFormat="1" x14ac:dyDescent="0.25">
      <c r="B19" s="19" t="s">
        <v>42</v>
      </c>
      <c r="E19" s="32">
        <v>54</v>
      </c>
      <c r="F19" s="19" t="s">
        <v>40</v>
      </c>
      <c r="G19" s="19" t="s">
        <v>25</v>
      </c>
      <c r="S19"/>
    </row>
    <row r="20" spans="1:30" s="19" customFormat="1" x14ac:dyDescent="0.25">
      <c r="B20" s="19" t="s">
        <v>43</v>
      </c>
      <c r="E20" s="33" t="s">
        <v>12</v>
      </c>
      <c r="K20" s="34" t="s">
        <v>25</v>
      </c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9" customFormat="1" x14ac:dyDescent="0.25">
      <c r="B21" s="19" t="s">
        <v>44</v>
      </c>
      <c r="E21" s="33" t="s">
        <v>18</v>
      </c>
      <c r="F21" s="19" t="s">
        <v>25</v>
      </c>
      <c r="K21" s="35" t="s">
        <v>45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9" customFormat="1" x14ac:dyDescent="0.25">
      <c r="K22" s="35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x14ac:dyDescent="0.25">
      <c r="A23" s="27" t="s">
        <v>46</v>
      </c>
    </row>
    <row r="24" spans="1:30" s="19" customFormat="1" ht="12" x14ac:dyDescent="0.2">
      <c r="B24" s="19" t="s">
        <v>47</v>
      </c>
      <c r="E24" s="32" t="s">
        <v>16</v>
      </c>
      <c r="F24" s="36" t="str">
        <f>IF(E24="geen"," ",IF(AND(E24="B30",E21="kurk")," ",IF(AND(E24="B60",E21="kurk")," ", "alleen mogelijk met kurk-vulling ")))</f>
        <v xml:space="preserve"> </v>
      </c>
      <c r="T24" s="19" t="s">
        <v>48</v>
      </c>
    </row>
    <row r="25" spans="1:30" s="19" customFormat="1" ht="12" x14ac:dyDescent="0.2">
      <c r="B25" s="19" t="s">
        <v>49</v>
      </c>
      <c r="E25" s="32" t="s">
        <v>9</v>
      </c>
    </row>
    <row r="26" spans="1:30" s="19" customFormat="1" ht="12" x14ac:dyDescent="0.2">
      <c r="B26" s="19" t="s">
        <v>50</v>
      </c>
      <c r="E26" s="32" t="s">
        <v>22</v>
      </c>
      <c r="G26" s="37" t="str">
        <f>IF(E26="nee", "  ","nieuwe breedte :")</f>
        <v xml:space="preserve">  </v>
      </c>
      <c r="H26" s="38"/>
      <c r="I26" s="39" t="s">
        <v>25</v>
      </c>
      <c r="J26" s="40" t="str">
        <f>IF(E26="nee"," ","mm")</f>
        <v xml:space="preserve"> </v>
      </c>
      <c r="T26" s="19" t="s">
        <v>51</v>
      </c>
    </row>
    <row r="27" spans="1:30" s="19" customFormat="1" ht="12" x14ac:dyDescent="0.2">
      <c r="E27" s="34"/>
      <c r="G27" s="19" t="s">
        <v>25</v>
      </c>
    </row>
    <row r="28" spans="1:30" s="19" customFormat="1" x14ac:dyDescent="0.25">
      <c r="A28" s="41" t="s">
        <v>25</v>
      </c>
      <c r="B28" s="42" t="s">
        <v>52</v>
      </c>
      <c r="C28" s="41"/>
      <c r="D28" s="41"/>
      <c r="E28" s="43"/>
      <c r="F28" s="41"/>
      <c r="G28" s="41"/>
      <c r="H28" s="41"/>
      <c r="I28" s="41" t="s">
        <v>53</v>
      </c>
      <c r="J28" s="41"/>
      <c r="K28" s="44" t="s">
        <v>54</v>
      </c>
      <c r="L28" s="41"/>
      <c r="M28" s="41"/>
      <c r="N28" s="41"/>
      <c r="O28" s="41" t="s">
        <v>25</v>
      </c>
      <c r="P28" s="41"/>
      <c r="Q28" s="19" t="s">
        <v>25</v>
      </c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9" customFormat="1" x14ac:dyDescent="0.25">
      <c r="B29" s="19" t="s">
        <v>55</v>
      </c>
      <c r="C29" s="28"/>
      <c r="D29" s="28"/>
      <c r="E29" s="45">
        <f>IF(E26= "ja",I26,IF(E19=54,55,IF(E19=67,51,IF(E19=39,76))))</f>
        <v>55</v>
      </c>
      <c r="F29" s="28" t="s">
        <v>40</v>
      </c>
      <c r="G29" s="28"/>
      <c r="H29" s="28"/>
      <c r="I29" s="28" t="s">
        <v>56</v>
      </c>
      <c r="J29" s="28"/>
      <c r="K29" s="46">
        <v>0.13</v>
      </c>
      <c r="L29" s="28"/>
      <c r="M29" s="28"/>
      <c r="N29" s="28"/>
      <c r="O29" s="28"/>
      <c r="P29" s="28"/>
      <c r="R29"/>
      <c r="S29"/>
      <c r="T29" t="s">
        <v>57</v>
      </c>
      <c r="U29"/>
      <c r="V29"/>
      <c r="W29"/>
      <c r="X29"/>
      <c r="Y29"/>
      <c r="Z29"/>
      <c r="AA29"/>
      <c r="AB29"/>
      <c r="AC29"/>
      <c r="AD29"/>
    </row>
    <row r="30" spans="1:30" s="19" customFormat="1" x14ac:dyDescent="0.25">
      <c r="B30" s="19" t="s">
        <v>58</v>
      </c>
      <c r="E30" s="47">
        <f>IF(E19=39,76,IF(AND(E19=54,E24="geen"),55,IF(AND(E19=54,E24="B30"),83,IF(AND(E19=54,E24="B60"),110,IF(E19=67,51)))))</f>
        <v>83</v>
      </c>
      <c r="F30" s="19" t="s">
        <v>40</v>
      </c>
      <c r="I30" s="19" t="s">
        <v>56</v>
      </c>
      <c r="K30" s="35">
        <v>0.13</v>
      </c>
      <c r="R30"/>
      <c r="S30"/>
      <c r="T30" t="s">
        <v>59</v>
      </c>
      <c r="U30"/>
      <c r="V30"/>
      <c r="W30"/>
      <c r="X30"/>
      <c r="Y30"/>
      <c r="Z30"/>
      <c r="AA30"/>
      <c r="AB30"/>
      <c r="AC30"/>
      <c r="AD30"/>
    </row>
    <row r="31" spans="1:30" s="19" customFormat="1" x14ac:dyDescent="0.25">
      <c r="B31" s="19" t="s">
        <v>60</v>
      </c>
      <c r="E31" s="47">
        <f>IF(E25="geen",55,IF(AND(E19=39,E25="std"),76,IF(AND(E19=54,E25="WX"),165,IF(AND(E19=54,E25="std"),55,IF(AND(E19=67,E25="WX"),165,IF(E19=67,89,"niet in WX"))))))</f>
        <v>55</v>
      </c>
      <c r="F31" s="19" t="s">
        <v>40</v>
      </c>
      <c r="I31" s="19" t="s">
        <v>56</v>
      </c>
      <c r="K31" s="35">
        <v>0.13</v>
      </c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19" customFormat="1" x14ac:dyDescent="0.25">
      <c r="B32" s="19" t="s">
        <v>61</v>
      </c>
      <c r="E32" s="47">
        <f>IF(AND(E19=39,E24="geen"),164,IF(AND(E19=39,E24="B30"),138,IF(E19=54,139,IF(E19=67,102,"niet in B60"))))</f>
        <v>139</v>
      </c>
      <c r="F32" s="19" t="s">
        <v>40</v>
      </c>
      <c r="G32" s="34" t="s">
        <v>25</v>
      </c>
      <c r="H32" s="19" t="s">
        <v>25</v>
      </c>
      <c r="I32" s="19" t="s">
        <v>56</v>
      </c>
      <c r="K32" s="35">
        <v>0.13</v>
      </c>
      <c r="N32" t="s">
        <v>25</v>
      </c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6" s="19" customFormat="1" x14ac:dyDescent="0.25">
      <c r="E33" s="34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6" s="19" customFormat="1" x14ac:dyDescent="0.25">
      <c r="A34" s="27" t="s">
        <v>62</v>
      </c>
      <c r="C34" s="41"/>
      <c r="D34" s="41"/>
      <c r="E34" s="43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6" s="19" customFormat="1" x14ac:dyDescent="0.25">
      <c r="A35" s="28"/>
      <c r="B35" s="28" t="s">
        <v>63</v>
      </c>
      <c r="E35" s="48" t="s">
        <v>13</v>
      </c>
      <c r="F35" s="49" t="str">
        <f>IF(AND(E35="T",E24="B30"),"type TB",IF(AND(E35="T",E24="B60"),"type TBP","  "))</f>
        <v>type TB</v>
      </c>
      <c r="R35"/>
      <c r="S35"/>
      <c r="T35" t="s">
        <v>64</v>
      </c>
      <c r="U35"/>
      <c r="V35"/>
      <c r="W35"/>
      <c r="X35"/>
      <c r="Y35"/>
      <c r="Z35"/>
      <c r="AA35"/>
      <c r="AB35"/>
      <c r="AC35"/>
      <c r="AD35"/>
    </row>
    <row r="36" spans="1:36" s="19" customFormat="1" x14ac:dyDescent="0.25">
      <c r="E36"/>
      <c r="J36" s="19" t="s">
        <v>25</v>
      </c>
      <c r="K36" s="19" t="s">
        <v>65</v>
      </c>
      <c r="N36" s="19" t="s">
        <v>66</v>
      </c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6" s="19" customFormat="1" x14ac:dyDescent="0.25">
      <c r="B37" s="19" t="s">
        <v>67</v>
      </c>
      <c r="E37"/>
      <c r="G37" s="19" t="s">
        <v>68</v>
      </c>
      <c r="I37" s="19" t="s">
        <v>69</v>
      </c>
      <c r="K37" s="28" t="s">
        <v>70</v>
      </c>
      <c r="L37" s="28" t="s">
        <v>71</v>
      </c>
      <c r="M37" s="28"/>
      <c r="N37" s="28" t="s">
        <v>72</v>
      </c>
      <c r="O37" s="28" t="s">
        <v>73</v>
      </c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6" s="19" customFormat="1" x14ac:dyDescent="0.25">
      <c r="B38" s="19" t="s">
        <v>74</v>
      </c>
      <c r="E38" s="30">
        <v>0</v>
      </c>
      <c r="F38" s="19" t="s">
        <v>75</v>
      </c>
      <c r="G38" s="30">
        <v>400</v>
      </c>
      <c r="H38" s="50" t="s">
        <v>40</v>
      </c>
      <c r="K38" s="35">
        <f>3.1427*E38*(G38/1000)*(G38/1000)/4</f>
        <v>0</v>
      </c>
      <c r="L38" s="35">
        <f>3.1427*E38*G38/1000</f>
        <v>0</v>
      </c>
      <c r="N38" s="51">
        <f>IF(AND(E19=39,E35="T"),55,IF(AND(E19=39,E35="TX"),76,IF(AND(E19=54,E35="T"),46,IF(AND(E19=54,E35="TX"),55,IF(AND(E19=67,E35="T"),55,IF(AND(E19=67,E35="TX"),51))))))</f>
        <v>46</v>
      </c>
      <c r="O38" s="35">
        <f>3.1427*E38*((G38+2*N38)*(G38+2*N38)-G38*G38)/1000000/4</f>
        <v>0</v>
      </c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6" s="19" customFormat="1" x14ac:dyDescent="0.25">
      <c r="B39" s="19" t="s">
        <v>74</v>
      </c>
      <c r="E39" s="30">
        <v>2</v>
      </c>
      <c r="F39" s="19" t="s">
        <v>75</v>
      </c>
      <c r="G39" s="30">
        <v>200</v>
      </c>
      <c r="H39" s="50" t="s">
        <v>40</v>
      </c>
      <c r="K39" s="35">
        <f>3.1427*E39*(G39/1000)*(G39/1000)/4</f>
        <v>6.2854000000000007E-2</v>
      </c>
      <c r="L39" s="35">
        <f>3.1427*E39*G39/1000</f>
        <v>1.25708</v>
      </c>
      <c r="N39" s="51">
        <f>N38</f>
        <v>46</v>
      </c>
      <c r="O39" s="35">
        <f>3.1427*E39*((G39+2*N39)*(G39+2*N39)-G39*G39)/1000000/4</f>
        <v>7.1125586399999996E-2</v>
      </c>
      <c r="R39"/>
      <c r="S39"/>
      <c r="T39" t="s">
        <v>76</v>
      </c>
      <c r="U39"/>
      <c r="V39"/>
      <c r="W39"/>
      <c r="X39"/>
      <c r="Y39"/>
      <c r="Z39"/>
      <c r="AA39"/>
      <c r="AB39"/>
      <c r="AC39"/>
      <c r="AD39"/>
    </row>
    <row r="40" spans="1:36" s="19" customFormat="1" x14ac:dyDescent="0.25">
      <c r="B40" s="19" t="s">
        <v>77</v>
      </c>
      <c r="E40" s="30">
        <v>0</v>
      </c>
      <c r="F40" s="19" t="s">
        <v>75</v>
      </c>
      <c r="G40" s="30">
        <v>100</v>
      </c>
      <c r="H40" s="50" t="s">
        <v>40</v>
      </c>
      <c r="I40" s="30">
        <v>1000</v>
      </c>
      <c r="J40" s="50" t="s">
        <v>40</v>
      </c>
      <c r="K40" s="35">
        <f>E40*G40*I40/1000000</f>
        <v>0</v>
      </c>
      <c r="L40" s="35">
        <f>E40*2*(G40+I40)/1000</f>
        <v>0</v>
      </c>
      <c r="N40" s="51">
        <f>N38</f>
        <v>46</v>
      </c>
      <c r="O40" s="35">
        <f>E40*((G40+2*N40)*2*N40+(I40*N40)*2)/1000000</f>
        <v>0</v>
      </c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6" s="19" customFormat="1" x14ac:dyDescent="0.25">
      <c r="B41" s="19" t="s">
        <v>77</v>
      </c>
      <c r="E41" s="30">
        <v>0</v>
      </c>
      <c r="F41" s="19" t="s">
        <v>75</v>
      </c>
      <c r="G41" s="30">
        <v>200</v>
      </c>
      <c r="H41" s="50" t="s">
        <v>40</v>
      </c>
      <c r="I41" s="30">
        <v>500</v>
      </c>
      <c r="J41" s="50" t="s">
        <v>40</v>
      </c>
      <c r="K41" s="35">
        <f t="shared" ref="K41:K44" si="0">E41*G41*I41/1000000</f>
        <v>0</v>
      </c>
      <c r="L41" s="35">
        <f t="shared" ref="L41:L44" si="1">E41*2*(G41+I41)/1000</f>
        <v>0</v>
      </c>
      <c r="N41" s="51">
        <f>N38</f>
        <v>46</v>
      </c>
      <c r="O41" s="35">
        <f>E41*((G41+2*N41)*2*N41+(I41*N41)*2)/1000000</f>
        <v>0</v>
      </c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6" s="19" customFormat="1" x14ac:dyDescent="0.25">
      <c r="B42" s="19" t="s">
        <v>77</v>
      </c>
      <c r="E42" s="30">
        <v>0</v>
      </c>
      <c r="F42" s="19" t="s">
        <v>75</v>
      </c>
      <c r="G42" s="30">
        <v>200</v>
      </c>
      <c r="H42" s="50" t="s">
        <v>40</v>
      </c>
      <c r="I42" s="30">
        <v>500</v>
      </c>
      <c r="J42" s="50" t="s">
        <v>40</v>
      </c>
      <c r="K42" s="35">
        <f t="shared" si="0"/>
        <v>0</v>
      </c>
      <c r="L42" s="35">
        <f t="shared" si="1"/>
        <v>0</v>
      </c>
      <c r="N42" s="51">
        <f>N39</f>
        <v>46</v>
      </c>
      <c r="O42" s="35">
        <f>E42*((G42+2*N42)*2*N42+(I42*N42)*2)/1000000</f>
        <v>0</v>
      </c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6" s="19" customFormat="1" x14ac:dyDescent="0.25">
      <c r="B43" s="19" t="s">
        <v>78</v>
      </c>
      <c r="E43" s="30">
        <v>0</v>
      </c>
      <c r="F43" s="19" t="s">
        <v>75</v>
      </c>
      <c r="G43" s="30">
        <v>200</v>
      </c>
      <c r="H43" s="50" t="s">
        <v>40</v>
      </c>
      <c r="I43" s="30">
        <v>800</v>
      </c>
      <c r="J43" s="50" t="s">
        <v>40</v>
      </c>
      <c r="K43" s="35">
        <f t="shared" si="0"/>
        <v>0</v>
      </c>
      <c r="L43" s="35">
        <f t="shared" si="1"/>
        <v>0</v>
      </c>
      <c r="N43" s="51">
        <f>N38</f>
        <v>46</v>
      </c>
      <c r="O43" s="35">
        <f>E43*((G43+2*N43)*2*N43+(I43*N43)*2)/1000000</f>
        <v>0</v>
      </c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6" s="19" customFormat="1" ht="15.75" thickBot="1" x14ac:dyDescent="0.3">
      <c r="B44" s="19" t="s">
        <v>78</v>
      </c>
      <c r="E44" s="30">
        <v>0</v>
      </c>
      <c r="F44" s="19" t="s">
        <v>75</v>
      </c>
      <c r="G44" s="30">
        <v>200</v>
      </c>
      <c r="H44" s="50" t="s">
        <v>40</v>
      </c>
      <c r="I44" s="30">
        <v>1200</v>
      </c>
      <c r="J44" s="50" t="s">
        <v>40</v>
      </c>
      <c r="K44" s="35">
        <f t="shared" si="0"/>
        <v>0</v>
      </c>
      <c r="L44" s="52">
        <f t="shared" si="1"/>
        <v>0</v>
      </c>
      <c r="N44" s="34">
        <f>N38</f>
        <v>46</v>
      </c>
      <c r="O44" s="35">
        <f>E44*((G44+2*N44)*2*N44+(I44*N44)*2)/1000000</f>
        <v>0</v>
      </c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6" s="19" customFormat="1" ht="12.75" thickTop="1" x14ac:dyDescent="0.2">
      <c r="E45" s="34" t="s">
        <v>25</v>
      </c>
      <c r="L45" s="35">
        <f>SUM(L38:L44)</f>
        <v>1.25708</v>
      </c>
      <c r="M45" s="19" t="s">
        <v>79</v>
      </c>
      <c r="O45" s="53">
        <f>SUM(O38:O44)</f>
        <v>7.1125586399999996E-2</v>
      </c>
      <c r="P45" s="54" t="s">
        <v>80</v>
      </c>
      <c r="T45" s="19" t="s">
        <v>25</v>
      </c>
    </row>
    <row r="46" spans="1:36" s="19" customFormat="1" x14ac:dyDescent="0.25">
      <c r="A46" s="55" t="s">
        <v>65</v>
      </c>
      <c r="B46" s="41"/>
      <c r="C46" s="41"/>
      <c r="D46" s="41"/>
      <c r="E46" s="43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T46" s="19" t="s">
        <v>81</v>
      </c>
    </row>
    <row r="47" spans="1:36" s="19" customFormat="1" ht="12.75" thickBot="1" x14ac:dyDescent="0.25">
      <c r="B47" s="19" t="s">
        <v>82</v>
      </c>
      <c r="E47" s="30">
        <v>0.6</v>
      </c>
      <c r="F47" s="50" t="s">
        <v>83</v>
      </c>
      <c r="G47" s="19" t="s">
        <v>25</v>
      </c>
      <c r="I47" s="19" t="s">
        <v>25</v>
      </c>
      <c r="T47" s="19" t="s">
        <v>84</v>
      </c>
    </row>
    <row r="48" spans="1:36" s="19" customFormat="1" ht="15.75" thickTop="1" x14ac:dyDescent="0.25">
      <c r="B48" s="19" t="s">
        <v>85</v>
      </c>
      <c r="E48" s="33">
        <v>0.08</v>
      </c>
      <c r="F48" s="50" t="s">
        <v>86</v>
      </c>
      <c r="G48" s="19" t="s">
        <v>25</v>
      </c>
      <c r="L48" s="19" t="s">
        <v>25</v>
      </c>
      <c r="T48" s="56" t="s">
        <v>87</v>
      </c>
      <c r="U48" s="57"/>
      <c r="V48" s="58"/>
      <c r="W48" s="59" t="s">
        <v>88</v>
      </c>
      <c r="X48" s="54"/>
      <c r="Y48" s="54"/>
      <c r="Z48" s="54"/>
      <c r="AA48" s="54"/>
      <c r="AB48" s="54"/>
      <c r="AC48" s="54"/>
      <c r="AD48" s="60"/>
      <c r="AE48" s="59" t="s">
        <v>89</v>
      </c>
      <c r="AF48" s="54"/>
      <c r="AG48" s="54"/>
      <c r="AH48" s="60"/>
      <c r="AI48" s="61"/>
      <c r="AJ48" s="62" t="s">
        <v>90</v>
      </c>
    </row>
    <row r="49" spans="1:36" s="19" customFormat="1" x14ac:dyDescent="0.25">
      <c r="B49" s="19" t="s">
        <v>91</v>
      </c>
      <c r="E49" s="33" t="s">
        <v>22</v>
      </c>
      <c r="G49" s="37" t="str">
        <f>IF(E49="nee", "  ","totale lengte :")</f>
        <v xml:space="preserve">  </v>
      </c>
      <c r="H49" s="38"/>
      <c r="I49" s="39" t="s">
        <v>25</v>
      </c>
      <c r="J49" s="40" t="str">
        <f>IF(E49="nee"," ","mm")</f>
        <v xml:space="preserve"> </v>
      </c>
      <c r="T49" s="63" t="s">
        <v>92</v>
      </c>
      <c r="U49"/>
      <c r="V49" s="7"/>
      <c r="W49" s="64" t="s">
        <v>93</v>
      </c>
      <c r="X49"/>
      <c r="Y49"/>
      <c r="Z49" s="65"/>
      <c r="AA49" t="s">
        <v>19</v>
      </c>
      <c r="AB49"/>
      <c r="AC49"/>
      <c r="AD49" s="7"/>
      <c r="AE49" s="64" t="s">
        <v>93</v>
      </c>
      <c r="AF49" s="65"/>
      <c r="AG49" t="s">
        <v>19</v>
      </c>
      <c r="AH49" s="7"/>
      <c r="AI49" s="66"/>
      <c r="AJ49" s="67" t="str">
        <f>E20</f>
        <v>susplex</v>
      </c>
    </row>
    <row r="50" spans="1:36" s="19" customFormat="1" ht="15.75" thickBot="1" x14ac:dyDescent="0.3">
      <c r="I50" s="34"/>
      <c r="T50" s="68" t="s">
        <v>44</v>
      </c>
      <c r="U50" s="69"/>
      <c r="V50" s="70"/>
      <c r="W50" s="5">
        <v>39</v>
      </c>
      <c r="X50" s="6">
        <v>54</v>
      </c>
      <c r="Y50" s="6">
        <v>67</v>
      </c>
      <c r="Z50" s="71"/>
      <c r="AA50" s="6">
        <v>39</v>
      </c>
      <c r="AB50" s="6">
        <v>54</v>
      </c>
      <c r="AC50" s="6">
        <v>67</v>
      </c>
      <c r="AD50" s="72"/>
      <c r="AE50" s="73">
        <f>E19</f>
        <v>54</v>
      </c>
      <c r="AF50" s="74"/>
      <c r="AG50" s="75">
        <f>E19</f>
        <v>54</v>
      </c>
      <c r="AH50" s="72"/>
      <c r="AI50" s="66"/>
      <c r="AJ50" s="76">
        <f>AE50</f>
        <v>54</v>
      </c>
    </row>
    <row r="51" spans="1:36" ht="15.75" thickBot="1" x14ac:dyDescent="0.3">
      <c r="A51" s="15" t="s">
        <v>94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8"/>
      <c r="T51" s="77" t="s">
        <v>95</v>
      </c>
      <c r="U51" s="78" t="s">
        <v>25</v>
      </c>
      <c r="V51" s="79"/>
      <c r="W51" s="80">
        <v>2.113</v>
      </c>
      <c r="X51" s="81">
        <v>1.64</v>
      </c>
      <c r="Y51" s="81" t="s">
        <v>96</v>
      </c>
      <c r="Z51" s="82"/>
      <c r="AA51" s="81">
        <v>1.8919999999999999</v>
      </c>
      <c r="AB51" s="81">
        <v>1.504</v>
      </c>
      <c r="AC51" s="81" t="s">
        <v>96</v>
      </c>
      <c r="AD51" s="72"/>
      <c r="AE51" s="83">
        <f>IF(AE50=39,W51,IF(AE50=54,X51,IF(AE50=67,Y51)))</f>
        <v>1.64</v>
      </c>
      <c r="AF51" s="84"/>
      <c r="AG51" s="85">
        <f>IF(AG50=39,AA51,IF(AG50=54,AB51,IF(AG50=67,AC51)))</f>
        <v>1.504</v>
      </c>
      <c r="AH51" s="58"/>
      <c r="AI51" s="86"/>
      <c r="AJ51" s="87">
        <f>IF(AJ49="susplex",AE51,IF(AJ49="tricoya",AG51))</f>
        <v>1.64</v>
      </c>
    </row>
    <row r="52" spans="1:36" s="19" customFormat="1" ht="15" customHeight="1" x14ac:dyDescent="0.25">
      <c r="A52" s="88" t="s">
        <v>97</v>
      </c>
      <c r="E52" s="34" t="s">
        <v>98</v>
      </c>
      <c r="G52" s="19" t="s">
        <v>25</v>
      </c>
      <c r="I52" s="34" t="s">
        <v>99</v>
      </c>
      <c r="K52" s="19" t="s">
        <v>25</v>
      </c>
      <c r="L52" s="34" t="s">
        <v>100</v>
      </c>
      <c r="O52" s="34" t="s">
        <v>101</v>
      </c>
      <c r="P52" s="50" t="s">
        <v>102</v>
      </c>
      <c r="T52" s="89" t="s">
        <v>11</v>
      </c>
      <c r="U52" s="90" t="s">
        <v>25</v>
      </c>
      <c r="V52" s="7"/>
      <c r="W52" s="91">
        <v>0.94599999999999995</v>
      </c>
      <c r="X52" s="92">
        <v>0.63500000000000001</v>
      </c>
      <c r="Y52" s="92">
        <v>0.49399999999999999</v>
      </c>
      <c r="Z52" s="93"/>
      <c r="AA52" s="92">
        <v>0.89900000000000002</v>
      </c>
      <c r="AB52" s="92">
        <v>0.61399999999999999</v>
      </c>
      <c r="AC52" s="92">
        <v>0.48099999999999998</v>
      </c>
      <c r="AD52" s="72"/>
      <c r="AE52" s="94">
        <f>IF(AE50=39,W52,IF(AE50=54,X52,IF(AE50=67,Y52)))</f>
        <v>0.63500000000000001</v>
      </c>
      <c r="AF52" s="95"/>
      <c r="AG52" s="96">
        <f>IF(AG50=39,AA52,IF(AG50=54,AB52,IF(AG50=67,AC52)))</f>
        <v>0.61399999999999999</v>
      </c>
      <c r="AH52" s="72"/>
      <c r="AI52" s="66"/>
      <c r="AJ52" s="97">
        <f>IF(AJ49="susplex",AE52,IF(AJ49="tricoya",AG52))</f>
        <v>0.63500000000000001</v>
      </c>
    </row>
    <row r="53" spans="1:36" s="19" customFormat="1" ht="15" customHeight="1" x14ac:dyDescent="0.25">
      <c r="B53" s="19" t="s">
        <v>103</v>
      </c>
      <c r="E53" s="98">
        <f>IF(E26="nee",E29,I26)</f>
        <v>55</v>
      </c>
      <c r="F53" s="50" t="s">
        <v>104</v>
      </c>
      <c r="G53" s="19" t="s">
        <v>25</v>
      </c>
      <c r="I53" s="99">
        <f>E53*E18/1000000</f>
        <v>0.12732499999999999</v>
      </c>
      <c r="L53" s="6">
        <f>AJ58</f>
        <v>1.7969999999999999</v>
      </c>
      <c r="M53" s="19" t="s">
        <v>25</v>
      </c>
      <c r="O53" s="99">
        <f>I53*L53</f>
        <v>0.22880302499999999</v>
      </c>
      <c r="R53" s="19" t="s">
        <v>25</v>
      </c>
      <c r="T53" s="89" t="s">
        <v>105</v>
      </c>
      <c r="U53" s="90" t="s">
        <v>25</v>
      </c>
      <c r="V53" s="7"/>
      <c r="W53" s="91">
        <v>1.381</v>
      </c>
      <c r="X53" s="92">
        <v>0.97599999999999998</v>
      </c>
      <c r="Y53" s="92">
        <v>0.77900000000000003</v>
      </c>
      <c r="Z53" s="93"/>
      <c r="AA53" s="92">
        <v>1.2829999999999999</v>
      </c>
      <c r="AB53" s="92">
        <v>0.92600000000000005</v>
      </c>
      <c r="AC53" s="92">
        <v>0.747</v>
      </c>
      <c r="AD53" s="72"/>
      <c r="AE53" s="94">
        <f>IF(AE50=39,W53,IF(AE50=54,X53,IF(AE50=67,Y53)))</f>
        <v>0.97599999999999998</v>
      </c>
      <c r="AF53" s="95"/>
      <c r="AG53" s="96">
        <f>IF(AG50=39,AA53,IF(AG50=54,AB53,IF(AG50=67,AC53)))</f>
        <v>0.92600000000000005</v>
      </c>
      <c r="AH53" s="72"/>
      <c r="AI53" s="66"/>
      <c r="AJ53" s="97">
        <f>IF(AJ49="susplex",AE53,IF(AJ49="tricoya",AG53))</f>
        <v>0.97599999999999998</v>
      </c>
    </row>
    <row r="54" spans="1:36" s="19" customFormat="1" ht="15" customHeight="1" x14ac:dyDescent="0.3">
      <c r="B54" s="19" t="s">
        <v>106</v>
      </c>
      <c r="E54" s="98">
        <f>E30</f>
        <v>83</v>
      </c>
      <c r="F54" s="50" t="s">
        <v>104</v>
      </c>
      <c r="G54" s="19" t="s">
        <v>25</v>
      </c>
      <c r="I54" s="99">
        <f>E54*(E17-E53-E56)/1000000</f>
        <v>5.0298000000000002E-2</v>
      </c>
      <c r="L54" s="95">
        <f>AJ59</f>
        <v>1.7969999999999999</v>
      </c>
      <c r="M54" s="19" t="s">
        <v>25</v>
      </c>
      <c r="O54" s="99">
        <f t="shared" ref="O54:O59" si="2">I54*L54</f>
        <v>9.0385506000000004E-2</v>
      </c>
      <c r="R54" s="100" t="s">
        <v>25</v>
      </c>
      <c r="T54" s="89"/>
      <c r="V54" s="7"/>
      <c r="W54" s="5"/>
      <c r="X54" s="6"/>
      <c r="Y54"/>
      <c r="Z54"/>
      <c r="AA54" s="101"/>
      <c r="AB54" s="6"/>
      <c r="AC54"/>
      <c r="AD54" s="72"/>
      <c r="AE54" s="5"/>
      <c r="AF54"/>
      <c r="AG54" s="101"/>
      <c r="AH54" s="72"/>
      <c r="AI54" s="66"/>
      <c r="AJ54" s="76"/>
    </row>
    <row r="55" spans="1:36" s="19" customFormat="1" ht="13.15" customHeight="1" x14ac:dyDescent="0.3">
      <c r="B55" s="19" t="s">
        <v>107</v>
      </c>
      <c r="E55" s="98">
        <f>E31</f>
        <v>55</v>
      </c>
      <c r="F55" s="50" t="s">
        <v>104</v>
      </c>
      <c r="G55" s="19" t="s">
        <v>25</v>
      </c>
      <c r="I55" s="99">
        <f>E55*(E17-E53-E56)/1000000</f>
        <v>3.3329999999999999E-2</v>
      </c>
      <c r="L55" s="95">
        <f>AJ60</f>
        <v>1.7969999999999999</v>
      </c>
      <c r="M55" s="19" t="s">
        <v>25</v>
      </c>
      <c r="O55" s="99">
        <f t="shared" si="2"/>
        <v>5.9894009999999998E-2</v>
      </c>
      <c r="R55" s="100"/>
      <c r="T55" s="89"/>
      <c r="V55" s="72"/>
      <c r="W55" s="66"/>
      <c r="AA55" s="89"/>
      <c r="AD55" s="72"/>
      <c r="AE55" s="66"/>
      <c r="AG55" s="89"/>
      <c r="AH55" s="72"/>
      <c r="AI55" s="66"/>
      <c r="AJ55" s="76"/>
    </row>
    <row r="56" spans="1:36" s="19" customFormat="1" ht="13.15" customHeight="1" x14ac:dyDescent="0.25">
      <c r="B56" s="19" t="s">
        <v>108</v>
      </c>
      <c r="E56" s="98">
        <f>E32</f>
        <v>139</v>
      </c>
      <c r="F56" s="50" t="s">
        <v>104</v>
      </c>
      <c r="G56" s="19" t="s">
        <v>25</v>
      </c>
      <c r="I56" s="99">
        <f>E56*E18/1000000</f>
        <v>0.32178499999999999</v>
      </c>
      <c r="L56" s="6">
        <f>IF(E24="geen",AJ61,IF(E24="B30",AJ62,IF(E24="B60",AJ63)))</f>
        <v>1.9730000000000001</v>
      </c>
      <c r="M56" s="36" t="str">
        <f>IF(L56="na","niet in tricoya", " ")</f>
        <v xml:space="preserve"> </v>
      </c>
      <c r="O56" s="99">
        <f t="shared" si="2"/>
        <v>0.63488180500000002</v>
      </c>
      <c r="T56" s="102"/>
      <c r="U56"/>
      <c r="V56" s="7"/>
      <c r="W56" s="64" t="s">
        <v>93</v>
      </c>
      <c r="X56"/>
      <c r="Y56"/>
      <c r="Z56"/>
      <c r="AA56" s="102" t="s">
        <v>19</v>
      </c>
      <c r="AB56"/>
      <c r="AC56"/>
      <c r="AD56" s="72"/>
      <c r="AE56" s="64" t="s">
        <v>93</v>
      </c>
      <c r="AF56"/>
      <c r="AG56" s="102" t="s">
        <v>19</v>
      </c>
      <c r="AH56" s="72"/>
      <c r="AI56" s="66"/>
      <c r="AJ56" s="67" t="str">
        <f>E20</f>
        <v>susplex</v>
      </c>
    </row>
    <row r="57" spans="1:36" s="19" customFormat="1" ht="15" customHeight="1" x14ac:dyDescent="0.25">
      <c r="B57" s="19" t="s">
        <v>109</v>
      </c>
      <c r="E57" s="98">
        <v>1</v>
      </c>
      <c r="F57" s="50" t="s">
        <v>110</v>
      </c>
      <c r="G57" s="19" t="s">
        <v>25</v>
      </c>
      <c r="I57" s="99">
        <f>(E17*E18)/1000000-I53-I55-I54-I56-I58-I59</f>
        <v>1.1852824136000002</v>
      </c>
      <c r="J57" s="19" t="s">
        <v>25</v>
      </c>
      <c r="K57" s="36" t="str">
        <f>IF(I57&lt;0.5,"FOUT", " ")</f>
        <v xml:space="preserve"> </v>
      </c>
      <c r="L57" s="6">
        <f>IF(E21="vuren",AJ51,IF(E21="PIR",AJ52,IF(E21="Kurk",AJ53)))</f>
        <v>0.97599999999999998</v>
      </c>
      <c r="M57" s="19" t="s">
        <v>25</v>
      </c>
      <c r="O57" s="99">
        <f>I57*L57</f>
        <v>1.1568356356736003</v>
      </c>
      <c r="P57" s="19" t="s">
        <v>111</v>
      </c>
      <c r="T57" s="103"/>
      <c r="U57" s="104"/>
      <c r="V57" s="105"/>
      <c r="W57" s="106">
        <v>39</v>
      </c>
      <c r="X57" s="107">
        <v>54</v>
      </c>
      <c r="Y57" s="107">
        <v>67</v>
      </c>
      <c r="Z57" s="107"/>
      <c r="AA57" s="108">
        <v>39</v>
      </c>
      <c r="AB57" s="107">
        <v>54</v>
      </c>
      <c r="AC57" s="107">
        <v>67</v>
      </c>
      <c r="AD57" s="72"/>
      <c r="AE57" s="109">
        <f>E19</f>
        <v>54</v>
      </c>
      <c r="AF57" s="107"/>
      <c r="AG57" s="110">
        <f>E19</f>
        <v>54</v>
      </c>
      <c r="AH57" s="111"/>
      <c r="AI57" s="112"/>
      <c r="AJ57" s="113">
        <f>AE57</f>
        <v>54</v>
      </c>
    </row>
    <row r="58" spans="1:36" s="19" customFormat="1" ht="15" customHeight="1" x14ac:dyDescent="0.25">
      <c r="B58" s="19" t="s">
        <v>112</v>
      </c>
      <c r="E58" s="98">
        <f>SUM(E38:E44)</f>
        <v>2</v>
      </c>
      <c r="F58" s="50" t="s">
        <v>110</v>
      </c>
      <c r="G58" s="19" t="s">
        <v>25</v>
      </c>
      <c r="I58" s="99">
        <f>SUM(O38:O44)</f>
        <v>7.1125586399999996E-2</v>
      </c>
      <c r="L58" s="6">
        <f>IF(AND(E35="T",E24="geen"),AJ67,IF(AND(E35="T",E24="B30"),AJ68,IF(AND(E35="T",E24="B60"),AJ69,IF(E35="TX",AJ70))))</f>
        <v>1.46</v>
      </c>
      <c r="M58" s="19" t="s">
        <v>25</v>
      </c>
      <c r="O58" s="99">
        <f t="shared" si="2"/>
        <v>0.10384335614399999</v>
      </c>
      <c r="T58" s="89" t="s">
        <v>113</v>
      </c>
      <c r="V58"/>
      <c r="W58" s="91">
        <v>1.1910000000000001</v>
      </c>
      <c r="X58" s="92">
        <v>1.7969999999999999</v>
      </c>
      <c r="Y58" s="92">
        <v>1.5229999999999999</v>
      </c>
      <c r="Z58" s="92"/>
      <c r="AA58" s="114">
        <v>1.954</v>
      </c>
      <c r="AB58" s="92">
        <v>1.6339999999999999</v>
      </c>
      <c r="AC58" s="92">
        <v>1.405</v>
      </c>
      <c r="AD58" s="72"/>
      <c r="AE58" s="83">
        <f>IF(AE57=39,W58,IF(AE57=54,X58,IF(AE57=67,Y58)))</f>
        <v>1.7969999999999999</v>
      </c>
      <c r="AF58" s="115"/>
      <c r="AG58" s="116">
        <f>IF(AG57=39,AA58,IF(AG57=54,AB58,IF(AG57=67,AC58)))</f>
        <v>1.6339999999999999</v>
      </c>
      <c r="AH58" s="58"/>
      <c r="AI58" s="117"/>
      <c r="AJ58" s="118">
        <f>IF(AJ56="susplex",AE58,IF(AJ56="tricoya",AG58))</f>
        <v>1.7969999999999999</v>
      </c>
    </row>
    <row r="59" spans="1:36" s="19" customFormat="1" ht="15" customHeight="1" thickBot="1" x14ac:dyDescent="0.3">
      <c r="B59" s="19" t="s">
        <v>114</v>
      </c>
      <c r="E59" s="98">
        <f>SUM(E38:E44)</f>
        <v>2</v>
      </c>
      <c r="F59" s="50" t="s">
        <v>110</v>
      </c>
      <c r="G59" s="19" t="s">
        <v>25</v>
      </c>
      <c r="I59" s="119">
        <f>SUM(K38:K44)</f>
        <v>6.2854000000000007E-2</v>
      </c>
      <c r="J59" s="120" t="s">
        <v>115</v>
      </c>
      <c r="L59" s="121">
        <f>E47</f>
        <v>0.6</v>
      </c>
      <c r="M59" s="19" t="s">
        <v>25</v>
      </c>
      <c r="O59" s="119">
        <f t="shared" si="2"/>
        <v>3.77124E-2</v>
      </c>
      <c r="P59" s="120" t="s">
        <v>115</v>
      </c>
      <c r="T59" s="89" t="s">
        <v>116</v>
      </c>
      <c r="W59" s="91">
        <v>2.2669999999999999</v>
      </c>
      <c r="X59" s="92">
        <f>X58</f>
        <v>1.7969999999999999</v>
      </c>
      <c r="Y59" s="92">
        <f>Y58</f>
        <v>1.5229999999999999</v>
      </c>
      <c r="Z59" s="122"/>
      <c r="AA59" s="123">
        <v>2.0139999999999998</v>
      </c>
      <c r="AB59" s="92">
        <f>AB58</f>
        <v>1.6339999999999999</v>
      </c>
      <c r="AC59" s="92">
        <f>AC58</f>
        <v>1.405</v>
      </c>
      <c r="AD59" s="72"/>
      <c r="AE59" s="124">
        <f>IF(AE57=39,W59,IF(AE57=54,X59,IF(AE57=67,Y59)))</f>
        <v>1.7969999999999999</v>
      </c>
      <c r="AF59" s="125"/>
      <c r="AG59" s="124">
        <f>IF(AG57=39,AA59,IF(AG57=54,AB59,IF(AG57=67,AC59)))</f>
        <v>1.6339999999999999</v>
      </c>
      <c r="AH59" s="72"/>
      <c r="AI59" s="66"/>
      <c r="AJ59" s="126">
        <f>IF(AJ56="susplex",AE59,IF(AJ56="tricoya",AG59))</f>
        <v>1.7969999999999999</v>
      </c>
    </row>
    <row r="60" spans="1:36" s="19" customFormat="1" ht="15" customHeight="1" thickTop="1" thickBot="1" x14ac:dyDescent="0.3">
      <c r="E60"/>
      <c r="F60"/>
      <c r="G60"/>
      <c r="H60"/>
      <c r="I60" s="127">
        <f>SUM(I53:I59)</f>
        <v>1.8520000000000001</v>
      </c>
      <c r="J60" s="50" t="s">
        <v>117</v>
      </c>
      <c r="K60"/>
      <c r="L60" s="6"/>
      <c r="M60"/>
      <c r="N60"/>
      <c r="O60" s="35">
        <f>SUM(O53:O59)</f>
        <v>2.3123557378176005</v>
      </c>
      <c r="T60" s="89" t="s">
        <v>118</v>
      </c>
      <c r="U60" s="19" t="s">
        <v>25</v>
      </c>
      <c r="V60"/>
      <c r="W60" s="91">
        <f>W59</f>
        <v>2.2669999999999999</v>
      </c>
      <c r="X60" s="92">
        <f>X59</f>
        <v>1.7969999999999999</v>
      </c>
      <c r="Y60" s="92">
        <v>1.5229999999999999</v>
      </c>
      <c r="Z60" s="92"/>
      <c r="AA60" s="114">
        <v>2.0139999999999998</v>
      </c>
      <c r="AB60" s="92">
        <f>AB59</f>
        <v>1.6339999999999999</v>
      </c>
      <c r="AC60" s="92">
        <v>1.405</v>
      </c>
      <c r="AD60" s="72"/>
      <c r="AE60" s="124">
        <f>IF(AE57=39,W60,IF(AE57=54,X60,IF(AE57=67,Y60)))</f>
        <v>1.7969999999999999</v>
      </c>
      <c r="AF60" s="125"/>
      <c r="AG60" s="124">
        <f>IF(AG57=39,AA60,IF(AG57=54,AB60,IF(AG57=67,AC60)))</f>
        <v>1.6339999999999999</v>
      </c>
      <c r="AH60" s="72"/>
      <c r="AI60" s="66"/>
      <c r="AJ60" s="126">
        <f>IF(AJ56="susplex",AE60,IF(AJ56="tricoya",AG60))</f>
        <v>1.7969999999999999</v>
      </c>
    </row>
    <row r="61" spans="1:36" s="19" customFormat="1" ht="15" customHeight="1" thickBot="1" x14ac:dyDescent="0.3">
      <c r="E61" s="128" t="str">
        <f>IF(I57&lt;=0.5,"glasoppervlak te groot", " ")</f>
        <v xml:space="preserve"> </v>
      </c>
      <c r="F61" s="129"/>
      <c r="G61" s="130"/>
      <c r="I61" s="35"/>
      <c r="L61" s="34"/>
      <c r="O61" s="34"/>
      <c r="T61" s="89" t="s">
        <v>119</v>
      </c>
      <c r="W61" s="131">
        <v>2.4260000000000002</v>
      </c>
      <c r="X61" s="122">
        <v>1.9730000000000001</v>
      </c>
      <c r="Y61" s="92">
        <f>Y58</f>
        <v>1.5229999999999999</v>
      </c>
      <c r="Z61" s="122"/>
      <c r="AA61" s="123">
        <v>2.1320000000000001</v>
      </c>
      <c r="AB61" s="122">
        <v>1.752</v>
      </c>
      <c r="AC61" s="92">
        <f>AC60</f>
        <v>1.405</v>
      </c>
      <c r="AD61" s="132"/>
      <c r="AE61" s="124">
        <f>IF(AE57=39,W61,IF(AE57=54,X61,IF(AE57=67,Y61)))</f>
        <v>1.9730000000000001</v>
      </c>
      <c r="AF61" s="125"/>
      <c r="AG61" s="124">
        <f>IF(AG57=39,AA61,IF(AG57=54,AB61,IF(AG57=67,AC61)))</f>
        <v>1.752</v>
      </c>
      <c r="AH61" s="72"/>
      <c r="AI61" s="66"/>
      <c r="AJ61" s="126">
        <f>IF(AJ56="susplex",AE61,IF(AJ56="tricoya",AG61))</f>
        <v>1.9730000000000001</v>
      </c>
    </row>
    <row r="62" spans="1:36" s="19" customFormat="1" x14ac:dyDescent="0.25">
      <c r="A62" s="88" t="s">
        <v>120</v>
      </c>
      <c r="E62"/>
      <c r="I62" s="35" t="s">
        <v>121</v>
      </c>
      <c r="L62" s="133" t="s">
        <v>122</v>
      </c>
      <c r="O62" s="34" t="s">
        <v>123</v>
      </c>
      <c r="P62" s="50" t="s">
        <v>102</v>
      </c>
      <c r="T62" s="89" t="s">
        <v>124</v>
      </c>
      <c r="U62" s="19" t="s">
        <v>25</v>
      </c>
      <c r="V62"/>
      <c r="W62" s="91">
        <v>2.4369999999999998</v>
      </c>
      <c r="X62" s="92">
        <v>1.9730000000000001</v>
      </c>
      <c r="Y62" s="92">
        <v>1.5229999999999999</v>
      </c>
      <c r="Z62" s="92"/>
      <c r="AA62" s="114">
        <v>2.14</v>
      </c>
      <c r="AB62" s="92">
        <v>1.752</v>
      </c>
      <c r="AC62" s="92">
        <v>1.405</v>
      </c>
      <c r="AD62" s="72"/>
      <c r="AE62" s="124">
        <f>IF(AE57=39,W62,IF(AE57=54,X62,IF(AE57=67,Y62)))</f>
        <v>1.9730000000000001</v>
      </c>
      <c r="AF62" s="125"/>
      <c r="AG62" s="124">
        <f>IF(AG57=39,AA62,IF(AG57=54,AB62,IF(AG57=67,AC62)))</f>
        <v>1.752</v>
      </c>
      <c r="AH62" s="72"/>
      <c r="AI62" s="66"/>
      <c r="AJ62" s="126">
        <f>IF(AJ56="susplex",AE62,IF(AJ56="tricoya",AG62))</f>
        <v>1.9730000000000001</v>
      </c>
    </row>
    <row r="63" spans="1:36" s="19" customFormat="1" x14ac:dyDescent="0.25">
      <c r="B63" s="19" t="s">
        <v>125</v>
      </c>
      <c r="E63" t="s">
        <v>25</v>
      </c>
      <c r="F63" s="19" t="s">
        <v>25</v>
      </c>
      <c r="I63" s="99">
        <f>L45</f>
        <v>1.25708</v>
      </c>
      <c r="J63" s="50" t="s">
        <v>25</v>
      </c>
      <c r="L63" s="98">
        <f>E48</f>
        <v>0.08</v>
      </c>
      <c r="M63" s="50" t="s">
        <v>25</v>
      </c>
      <c r="O63" s="99">
        <f t="shared" ref="O63:O64" si="3">I63*L63</f>
        <v>0.1005664</v>
      </c>
      <c r="T63" s="89" t="s">
        <v>126</v>
      </c>
      <c r="U63" s="19" t="s">
        <v>25</v>
      </c>
      <c r="V63" s="7"/>
      <c r="W63" s="91" t="s">
        <v>96</v>
      </c>
      <c r="X63" s="92">
        <v>1.9730000000000001</v>
      </c>
      <c r="Y63" s="92">
        <v>1.5229999999999999</v>
      </c>
      <c r="Z63" s="92"/>
      <c r="AA63" s="114" t="s">
        <v>96</v>
      </c>
      <c r="AB63" s="92" t="s">
        <v>96</v>
      </c>
      <c r="AC63" s="92" t="s">
        <v>96</v>
      </c>
      <c r="AD63" s="72"/>
      <c r="AE63" s="94">
        <f>IF(AE57=39,W63,IF(AE57=54,X63,IF(AE57=67,Y63)))</f>
        <v>1.9730000000000001</v>
      </c>
      <c r="AF63" s="95"/>
      <c r="AG63" s="96" t="str">
        <f>IF(AG57=39,AA63,IF(AG57=54,AB63,IF(AG57=67,AC63)))</f>
        <v>na</v>
      </c>
      <c r="AH63" s="72"/>
      <c r="AI63" s="66"/>
      <c r="AJ63" s="97">
        <f>IF(AJ56="susplex",AE63,IF(AJ56="tricoya",AG63))</f>
        <v>1.9730000000000001</v>
      </c>
    </row>
    <row r="64" spans="1:36" s="19" customFormat="1" ht="15.75" thickBot="1" x14ac:dyDescent="0.3">
      <c r="B64" s="19" t="s">
        <v>127</v>
      </c>
      <c r="E64"/>
      <c r="I64" s="99">
        <f>IF(E49="ja",I49/1000,0)</f>
        <v>0</v>
      </c>
      <c r="J64" s="50" t="s">
        <v>25</v>
      </c>
      <c r="L64" s="98">
        <f>E48</f>
        <v>0.08</v>
      </c>
      <c r="M64" s="50"/>
      <c r="O64" s="119">
        <f t="shared" si="3"/>
        <v>0</v>
      </c>
      <c r="P64" s="120" t="s">
        <v>111</v>
      </c>
      <c r="T64" s="89"/>
      <c r="V64" s="7"/>
      <c r="W64" s="64"/>
      <c r="X64"/>
      <c r="Y64"/>
      <c r="Z64"/>
      <c r="AA64" s="102"/>
      <c r="AB64"/>
      <c r="AC64"/>
      <c r="AD64" s="72"/>
      <c r="AE64" s="64"/>
      <c r="AF64"/>
      <c r="AG64" s="102"/>
      <c r="AH64" s="72"/>
      <c r="AI64" s="66"/>
      <c r="AJ64" s="76"/>
    </row>
    <row r="65" spans="1:36" s="19" customFormat="1" ht="15.75" thickTop="1" x14ac:dyDescent="0.25">
      <c r="E65" s="34"/>
      <c r="I65" s="35"/>
      <c r="L65" s="34"/>
      <c r="O65" s="35">
        <f>SUM(O63:O64)</f>
        <v>0.1005664</v>
      </c>
      <c r="T65" s="89"/>
      <c r="V65" s="7"/>
      <c r="W65" s="64" t="s">
        <v>93</v>
      </c>
      <c r="X65"/>
      <c r="Y65"/>
      <c r="Z65"/>
      <c r="AA65" s="102" t="s">
        <v>19</v>
      </c>
      <c r="AB65"/>
      <c r="AC65"/>
      <c r="AD65" s="72"/>
      <c r="AE65" s="64" t="s">
        <v>93</v>
      </c>
      <c r="AF65"/>
      <c r="AG65" s="102" t="s">
        <v>19</v>
      </c>
      <c r="AH65" s="72"/>
      <c r="AI65" s="66"/>
      <c r="AJ65" s="67" t="str">
        <f>E20</f>
        <v>susplex</v>
      </c>
    </row>
    <row r="66" spans="1:36" s="19" customFormat="1" ht="13.15" customHeight="1" thickBot="1" x14ac:dyDescent="0.3">
      <c r="E66" s="34"/>
      <c r="I66" s="35"/>
      <c r="L66" s="34"/>
      <c r="O66" s="52"/>
      <c r="P66" s="120" t="s">
        <v>111</v>
      </c>
      <c r="T66" s="89" t="s">
        <v>128</v>
      </c>
      <c r="U66" s="19" t="s">
        <v>68</v>
      </c>
      <c r="V66" s="72"/>
      <c r="W66" s="134">
        <v>39</v>
      </c>
      <c r="X66" s="34">
        <v>54</v>
      </c>
      <c r="Y66" s="34">
        <v>67</v>
      </c>
      <c r="Z66" s="34"/>
      <c r="AA66" s="135">
        <v>39</v>
      </c>
      <c r="AB66" s="34">
        <v>54</v>
      </c>
      <c r="AC66" s="34">
        <v>67</v>
      </c>
      <c r="AD66" s="7"/>
      <c r="AE66" s="109">
        <f>E19</f>
        <v>54</v>
      </c>
      <c r="AF66" s="136"/>
      <c r="AG66" s="110">
        <f>E19</f>
        <v>54</v>
      </c>
      <c r="AH66" s="137"/>
      <c r="AI66" s="138"/>
      <c r="AJ66" s="139">
        <f>AE66</f>
        <v>54</v>
      </c>
    </row>
    <row r="67" spans="1:36" s="19" customFormat="1" ht="16.5" thickTop="1" thickBot="1" x14ac:dyDescent="0.3">
      <c r="E67" s="34"/>
      <c r="I67" s="35"/>
      <c r="L67" s="140" t="s">
        <v>129</v>
      </c>
      <c r="O67" s="141">
        <f>O60+O65</f>
        <v>2.4129221378176005</v>
      </c>
      <c r="P67" s="50" t="s">
        <v>102</v>
      </c>
      <c r="T67" s="142" t="s">
        <v>13</v>
      </c>
      <c r="U67" s="143">
        <v>46</v>
      </c>
      <c r="V67" s="144">
        <v>55</v>
      </c>
      <c r="W67" s="145">
        <v>1.768</v>
      </c>
      <c r="X67" s="81">
        <v>1.46</v>
      </c>
      <c r="Y67" s="81">
        <v>1.2809999999999999</v>
      </c>
      <c r="Z67" s="146"/>
      <c r="AA67" s="147">
        <v>1.623</v>
      </c>
      <c r="AB67" s="81">
        <v>1.423</v>
      </c>
      <c r="AC67" s="81">
        <v>1.252</v>
      </c>
      <c r="AD67" s="7"/>
      <c r="AE67" s="83">
        <f>IF(AE66=39,W67,IF(AE66=54,X67,IF(AE66=67,Y67)))</f>
        <v>1.46</v>
      </c>
      <c r="AF67" s="148"/>
      <c r="AG67" s="85">
        <f>IF(AG66=39,AA67,IF(AG66=54,AB67,IF(AG66=67,AC67)))</f>
        <v>1.423</v>
      </c>
      <c r="AH67" s="79"/>
      <c r="AI67" s="117"/>
      <c r="AJ67" s="87">
        <f>IF(AJ65="susplex",AE67,IF(AJ65="tricoya",AG67))</f>
        <v>1.46</v>
      </c>
    </row>
    <row r="68" spans="1:36" ht="15.75" thickBot="1" x14ac:dyDescent="0.3">
      <c r="A68" s="15" t="s">
        <v>130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  <c r="Q68" s="18"/>
      <c r="T68" s="135" t="s">
        <v>131</v>
      </c>
      <c r="U68" s="34">
        <v>46</v>
      </c>
      <c r="V68" s="76">
        <v>55</v>
      </c>
      <c r="W68" s="149">
        <v>1.768</v>
      </c>
      <c r="X68" s="92">
        <v>1.46</v>
      </c>
      <c r="Y68" s="92">
        <v>1.2809999999999999</v>
      </c>
      <c r="Z68" s="150"/>
      <c r="AA68" s="151">
        <v>1.623</v>
      </c>
      <c r="AB68" s="92">
        <v>1.423</v>
      </c>
      <c r="AC68" s="92">
        <v>1.252</v>
      </c>
      <c r="AD68" s="7"/>
      <c r="AE68" s="94">
        <f>IF(AE66=39,W68,IF(AE66=54,X68,IF(AE66=67,Y68)))</f>
        <v>1.46</v>
      </c>
      <c r="AG68" s="96">
        <f>IF(AG66=39,AA68,IF(AG66=54,AB68,IF(AG66=67,AC68)))</f>
        <v>1.423</v>
      </c>
      <c r="AH68" s="7"/>
      <c r="AI68" s="64"/>
      <c r="AJ68" s="97">
        <f>IF(AJ65="susplex",AE68,IF(AJ65="tricoya",AG68))</f>
        <v>1.46</v>
      </c>
    </row>
    <row r="69" spans="1:36" ht="10.9" customHeight="1" x14ac:dyDescent="0.25">
      <c r="T69" s="152" t="s">
        <v>132</v>
      </c>
      <c r="U69" s="153">
        <v>46</v>
      </c>
      <c r="V69" s="154">
        <v>55</v>
      </c>
      <c r="W69" s="155" t="s">
        <v>96</v>
      </c>
      <c r="X69" s="156">
        <v>1.46</v>
      </c>
      <c r="Y69" s="156">
        <v>1.2809999999999999</v>
      </c>
      <c r="Z69" s="157"/>
      <c r="AA69" s="158" t="s">
        <v>96</v>
      </c>
      <c r="AB69" s="156">
        <v>1.423</v>
      </c>
      <c r="AC69" s="156">
        <v>1.252</v>
      </c>
      <c r="AD69" s="7"/>
      <c r="AE69" s="94">
        <f>IF(AE66=39,W69,IF(AE66=54,X69,IF(AE66=67,Y69)))</f>
        <v>1.46</v>
      </c>
      <c r="AG69" s="96">
        <f>IF(AG66=39,AA69,IF(AG66=54,AB69,IF(AG66=67,AC69)))</f>
        <v>1.423</v>
      </c>
      <c r="AH69" s="105"/>
      <c r="AI69" s="159"/>
      <c r="AJ69" s="160">
        <f>IF(AJ65="susplex",AE69,IF(AJ65="tricoya",AG69))</f>
        <v>1.46</v>
      </c>
    </row>
    <row r="70" spans="1:36" ht="15.75" x14ac:dyDescent="0.25">
      <c r="B70" s="8" t="s">
        <v>133</v>
      </c>
      <c r="C70" s="161">
        <f>(O60+O65)/C71</f>
        <v>1.3028737245235422</v>
      </c>
      <c r="D70" t="s">
        <v>134</v>
      </c>
      <c r="E70" s="8"/>
      <c r="T70" s="135" t="s">
        <v>20</v>
      </c>
      <c r="U70" s="34">
        <v>55</v>
      </c>
      <c r="V70" s="76">
        <v>55</v>
      </c>
      <c r="W70" s="149">
        <v>1.877</v>
      </c>
      <c r="X70" s="92">
        <v>1.554</v>
      </c>
      <c r="Y70" s="92">
        <v>1.327</v>
      </c>
      <c r="Z70" s="162"/>
      <c r="AA70" s="150">
        <v>1.712</v>
      </c>
      <c r="AB70" s="92">
        <v>1.504</v>
      </c>
      <c r="AC70" s="92">
        <v>1.2909999999999999</v>
      </c>
      <c r="AD70" s="7"/>
      <c r="AE70" s="83">
        <f>IF(AE66=39,W70,IF(AE66=54,X70,IF(AE66=67,Y70)))</f>
        <v>1.554</v>
      </c>
      <c r="AF70" s="148"/>
      <c r="AG70" s="85">
        <f>IF(AG66=39,AA70,IF(AG66=54,AB70,IF(AG66=67,AC70)))</f>
        <v>1.504</v>
      </c>
      <c r="AH70" s="7"/>
      <c r="AI70" s="64"/>
      <c r="AJ70" s="97">
        <f>IF(AJ65="susplex",AE70,IF(AJ65="tricoya",AG70))</f>
        <v>1.554</v>
      </c>
    </row>
    <row r="71" spans="1:36" ht="15" customHeight="1" x14ac:dyDescent="0.25">
      <c r="B71" s="8" t="s">
        <v>135</v>
      </c>
      <c r="C71" s="161">
        <f>E17*E18/1000000</f>
        <v>1.8520000000000001</v>
      </c>
      <c r="D71" t="s">
        <v>117</v>
      </c>
      <c r="E71" s="8"/>
      <c r="T71" s="102"/>
      <c r="V71" s="7"/>
      <c r="W71" s="64"/>
      <c r="AD71" s="7"/>
      <c r="AE71" s="64"/>
      <c r="AH71" s="7"/>
      <c r="AI71" s="64"/>
      <c r="AJ71" s="132"/>
    </row>
    <row r="72" spans="1:36" ht="9" customHeight="1" thickBot="1" x14ac:dyDescent="0.3">
      <c r="T72" s="103"/>
      <c r="U72" s="104"/>
      <c r="V72" s="105"/>
      <c r="W72" s="10"/>
      <c r="X72" s="12"/>
      <c r="Y72" s="12"/>
      <c r="Z72" s="12"/>
      <c r="AA72" s="12"/>
      <c r="AB72" s="12"/>
      <c r="AC72" s="12"/>
      <c r="AD72" s="13"/>
      <c r="AE72" s="10"/>
      <c r="AF72" s="12"/>
      <c r="AG72" s="12"/>
      <c r="AH72" s="13"/>
      <c r="AI72" s="10"/>
      <c r="AJ72" s="163"/>
    </row>
    <row r="73" spans="1:36" ht="16.5" thickTop="1" thickBot="1" x14ac:dyDescent="0.3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AJ73" s="6"/>
    </row>
  </sheetData>
  <sheetProtection algorithmName="SHA-512" hashValue="Skk9kA8JiIpnWkupT0RGlGo4Qcl7kBDKOenJPfu4KhDNsGLwD4wW+P2cYWcASwBskKkrjUP8yhOw+iyACZ4TJA==" saltValue="SiEYxICY9rKmwpYeGb26wA==" spinCount="100000" sheet="1" objects="1" scenarios="1"/>
  <dataValidations count="11">
    <dataValidation type="list" allowBlank="1" showInputMessage="1" showErrorMessage="1" sqref="E25" xr:uid="{924C791E-0AB9-4984-9F49-7411A710D4BE}">
      <formula1>we</formula1>
    </dataValidation>
    <dataValidation type="list" allowBlank="1" showInputMessage="1" showErrorMessage="1" sqref="E49 E26" xr:uid="{4015E944-F21D-4300-A4A8-64AC1A636850}">
      <formula1>s</formula1>
    </dataValidation>
    <dataValidation type="list" allowBlank="1" showInputMessage="1" showErrorMessage="1" sqref="E48" xr:uid="{C0E90E6F-6ECE-424E-B338-C9699B551C39}">
      <formula1>x</formula1>
    </dataValidation>
    <dataValidation type="list" allowBlank="1" showInputMessage="1" showErrorMessage="1" sqref="E35" xr:uid="{476B50A6-1F15-46CE-976E-406C7ABD7D96}">
      <formula1>g</formula1>
    </dataValidation>
    <dataValidation type="list" allowBlank="1" showInputMessage="1" showErrorMessage="1" sqref="E21" xr:uid="{C5DB4D3E-5CDC-461F-9A4D-F184CBD56CC2}">
      <formula1>I</formula1>
    </dataValidation>
    <dataValidation type="list" allowBlank="1" showInputMessage="1" showErrorMessage="1" sqref="E20" xr:uid="{91FC5CB1-D2DB-410B-925E-7B2AAB80D8A3}">
      <formula1>P</formula1>
    </dataValidation>
    <dataValidation type="list" allowBlank="1" showInputMessage="1" showErrorMessage="1" sqref="E23" xr:uid="{766B99C3-A467-4E58-BC85-74F554784AE2}">
      <formula1>inhoud</formula1>
    </dataValidation>
    <dataValidation type="list" allowBlank="1" showInputMessage="1" showErrorMessage="1" sqref="E23" xr:uid="{E18A8BE1-D2AD-418C-8132-849EB4E80EAE}">
      <formula1>plaat</formula1>
    </dataValidation>
    <dataValidation type="list" allowBlank="1" showInputMessage="1" showErrorMessage="1" sqref="E23" xr:uid="{5FB5F125-44FF-437F-93D5-B2D99B82CE0B}">
      <formula1>w</formula1>
    </dataValidation>
    <dataValidation type="list" allowBlank="1" showInputMessage="1" showErrorMessage="1" sqref="E24" xr:uid="{C5358DA3-0BB7-43D9-B2F1-644C79D93DC9}">
      <formula1>B</formula1>
    </dataValidation>
    <dataValidation type="list" allowBlank="1" showInputMessage="1" showErrorMessage="1" sqref="R16 E23 E19" xr:uid="{DA495A7C-10C6-4697-B939-A60885ED0FE1}">
      <formula1>d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Stoffel</dc:creator>
  <cp:lastModifiedBy>Stoffel</cp:lastModifiedBy>
  <dcterms:created xsi:type="dcterms:W3CDTF">2019-10-17T11:49:30Z</dcterms:created>
  <dcterms:modified xsi:type="dcterms:W3CDTF">2019-10-17T12:00:03Z</dcterms:modified>
</cp:coreProperties>
</file>